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avis\Downloads\Build 2018\reclosetofinaldraft2018build\"/>
    </mc:Choice>
  </mc:AlternateContent>
  <xr:revisionPtr revIDLastSave="0" documentId="8_{9FBB8276-D672-4C18-A27F-82745916CA41}" xr6:coauthVersionLast="34" xr6:coauthVersionMax="34" xr10:uidLastSave="{00000000-0000-0000-0000-000000000000}"/>
  <bookViews>
    <workbookView xWindow="0" yWindow="0" windowWidth="28800" windowHeight="12225" tabRatio="685" xr2:uid="{00000000-000D-0000-FFFF-FFFF00000000}"/>
  </bookViews>
  <sheets>
    <sheet name="Travel" sheetId="1" r:id="rId1"/>
    <sheet name="Travel-Safety" sheetId="15" r:id="rId2"/>
    <sheet name="Travel-WalkingBiking" sheetId="6" r:id="rId3"/>
    <sheet name="Res. Property Value" sheetId="4" r:id="rId4"/>
    <sheet name="New Development" sheetId="5" r:id="rId5"/>
    <sheet name="Lifetime Maint. Costs-Trails" sheetId="2" r:id="rId6"/>
    <sheet name="Solar Lighting" sheetId="8" r:id="rId7"/>
    <sheet name="Transit Bus System" sheetId="9" r:id="rId8"/>
    <sheet name="Transit Bus Maint." sheetId="11" r:id="rId9"/>
    <sheet name="Storm Drains" sheetId="13" r:id="rId10"/>
  </sheets>
  <calcPr calcId="162913"/>
</workbook>
</file>

<file path=xl/calcChain.xml><?xml version="1.0" encoding="utf-8"?>
<calcChain xmlns="http://schemas.openxmlformats.org/spreadsheetml/2006/main">
  <c r="M4" i="8" l="1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4" i="8"/>
  <c r="L5" i="8"/>
  <c r="J4" i="8" l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5" i="8"/>
  <c r="H4" i="8"/>
  <c r="H6" i="8"/>
  <c r="H29" i="2"/>
  <c r="G29" i="2"/>
  <c r="F29" i="2"/>
  <c r="F13" i="2"/>
  <c r="C10" i="13" l="1"/>
  <c r="C9" i="13"/>
  <c r="G9" i="13" s="1"/>
  <c r="C8" i="13"/>
  <c r="C7" i="13"/>
  <c r="C5" i="13"/>
  <c r="C28" i="13" s="1"/>
  <c r="C61" i="15"/>
  <c r="E61" i="15" s="1"/>
  <c r="C60" i="15"/>
  <c r="E60" i="15" s="1"/>
  <c r="C59" i="15"/>
  <c r="E59" i="15" s="1"/>
  <c r="D28" i="15"/>
  <c r="G28" i="15" s="1"/>
  <c r="C28" i="15"/>
  <c r="H28" i="15" s="1"/>
  <c r="M28" i="15" s="1"/>
  <c r="D27" i="15"/>
  <c r="F27" i="15" s="1"/>
  <c r="C27" i="15"/>
  <c r="H27" i="15" s="1"/>
  <c r="M27" i="15" s="1"/>
  <c r="D26" i="15"/>
  <c r="C26" i="15"/>
  <c r="H26" i="15" s="1"/>
  <c r="D25" i="15"/>
  <c r="C25" i="15"/>
  <c r="H25" i="15" s="1"/>
  <c r="M25" i="15" s="1"/>
  <c r="D24" i="15"/>
  <c r="F24" i="15" s="1"/>
  <c r="C24" i="15"/>
  <c r="H24" i="15" s="1"/>
  <c r="M24" i="15" s="1"/>
  <c r="D23" i="15"/>
  <c r="F23" i="15" s="1"/>
  <c r="C23" i="15"/>
  <c r="H23" i="15" s="1"/>
  <c r="M23" i="15" s="1"/>
  <c r="D22" i="15"/>
  <c r="C22" i="15"/>
  <c r="H22" i="15" s="1"/>
  <c r="D21" i="15"/>
  <c r="G21" i="15" s="1"/>
  <c r="C21" i="15"/>
  <c r="H21" i="15" s="1"/>
  <c r="M21" i="15" s="1"/>
  <c r="D20" i="15"/>
  <c r="G20" i="15" s="1"/>
  <c r="C20" i="15"/>
  <c r="H20" i="15" s="1"/>
  <c r="M20" i="15" s="1"/>
  <c r="D19" i="15"/>
  <c r="F19" i="15" s="1"/>
  <c r="C19" i="15"/>
  <c r="H19" i="15" s="1"/>
  <c r="M19" i="15" s="1"/>
  <c r="D18" i="15"/>
  <c r="C18" i="15"/>
  <c r="H18" i="15" s="1"/>
  <c r="D17" i="15"/>
  <c r="C17" i="15"/>
  <c r="H17" i="15" s="1"/>
  <c r="M17" i="15" s="1"/>
  <c r="D16" i="15"/>
  <c r="F16" i="15" s="1"/>
  <c r="C16" i="15"/>
  <c r="H16" i="15" s="1"/>
  <c r="M16" i="15" s="1"/>
  <c r="D15" i="15"/>
  <c r="G15" i="15" s="1"/>
  <c r="C15" i="15"/>
  <c r="H15" i="15" s="1"/>
  <c r="M15" i="15" s="1"/>
  <c r="D14" i="15"/>
  <c r="C14" i="15"/>
  <c r="H14" i="15" s="1"/>
  <c r="D13" i="15"/>
  <c r="F13" i="15" s="1"/>
  <c r="C13" i="15"/>
  <c r="H13" i="15" s="1"/>
  <c r="M13" i="15" s="1"/>
  <c r="D12" i="15"/>
  <c r="F12" i="15" s="1"/>
  <c r="C12" i="15"/>
  <c r="H12" i="15" s="1"/>
  <c r="M12" i="15" s="1"/>
  <c r="D11" i="15"/>
  <c r="G11" i="15" s="1"/>
  <c r="C11" i="15"/>
  <c r="H11" i="15" s="1"/>
  <c r="M11" i="15" s="1"/>
  <c r="D10" i="15"/>
  <c r="C10" i="15"/>
  <c r="H10" i="15" s="1"/>
  <c r="D9" i="15"/>
  <c r="C9" i="15"/>
  <c r="D8" i="15"/>
  <c r="C8" i="15"/>
  <c r="D7" i="15"/>
  <c r="C7" i="15"/>
  <c r="D6" i="15"/>
  <c r="C6" i="15"/>
  <c r="D5" i="15"/>
  <c r="C5" i="15"/>
  <c r="F9" i="13" l="1"/>
  <c r="E62" i="15"/>
  <c r="H9" i="15"/>
  <c r="M9" i="15" s="1"/>
  <c r="M22" i="15"/>
  <c r="M14" i="15"/>
  <c r="A65" i="15"/>
  <c r="C65" i="15" s="1"/>
  <c r="C67" i="15" s="1"/>
  <c r="M18" i="15"/>
  <c r="M10" i="15"/>
  <c r="M26" i="15"/>
  <c r="C13" i="13"/>
  <c r="C21" i="13"/>
  <c r="C14" i="13"/>
  <c r="C15" i="13"/>
  <c r="C23" i="13"/>
  <c r="C16" i="13"/>
  <c r="C22" i="13"/>
  <c r="C24" i="13"/>
  <c r="C17" i="13"/>
  <c r="C25" i="13"/>
  <c r="C18" i="13"/>
  <c r="C26" i="13"/>
  <c r="C11" i="13"/>
  <c r="C19" i="13"/>
  <c r="C27" i="13"/>
  <c r="C12" i="13"/>
  <c r="C20" i="13"/>
  <c r="G27" i="15"/>
  <c r="G24" i="15"/>
  <c r="G23" i="15"/>
  <c r="G16" i="15"/>
  <c r="F15" i="15"/>
  <c r="G13" i="15"/>
  <c r="F20" i="15"/>
  <c r="F28" i="15"/>
  <c r="G19" i="15"/>
  <c r="F10" i="15"/>
  <c r="F14" i="15"/>
  <c r="G14" i="15"/>
  <c r="F18" i="15"/>
  <c r="G18" i="15"/>
  <c r="F22" i="15"/>
  <c r="G22" i="15"/>
  <c r="F26" i="15"/>
  <c r="G26" i="15"/>
  <c r="G10" i="15"/>
  <c r="F21" i="15"/>
  <c r="F9" i="15"/>
  <c r="G9" i="15"/>
  <c r="F17" i="15"/>
  <c r="G17" i="15"/>
  <c r="F25" i="15"/>
  <c r="G25" i="15"/>
  <c r="F11" i="15"/>
  <c r="G12" i="15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C4" i="8"/>
  <c r="K23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J21" i="8"/>
  <c r="K21" i="8" s="1"/>
  <c r="J22" i="8"/>
  <c r="K22" i="8" s="1"/>
  <c r="J23" i="8"/>
  <c r="M20" i="8"/>
  <c r="M21" i="8"/>
  <c r="M22" i="8"/>
  <c r="M23" i="8"/>
  <c r="N26" i="15" l="1"/>
  <c r="L62" i="15" s="1"/>
  <c r="N62" i="15" s="1"/>
  <c r="N12" i="15"/>
  <c r="L48" i="15" s="1"/>
  <c r="N48" i="15" s="1"/>
  <c r="N20" i="15"/>
  <c r="L56" i="15" s="1"/>
  <c r="N56" i="15" s="1"/>
  <c r="N23" i="15"/>
  <c r="L59" i="15" s="1"/>
  <c r="N59" i="15" s="1"/>
  <c r="N13" i="15"/>
  <c r="L49" i="15" s="1"/>
  <c r="N49" i="15" s="1"/>
  <c r="N15" i="15"/>
  <c r="L51" i="15" s="1"/>
  <c r="N51" i="15" s="1"/>
  <c r="N11" i="15"/>
  <c r="L47" i="15" s="1"/>
  <c r="N47" i="15" s="1"/>
  <c r="N19" i="15"/>
  <c r="L55" i="15" s="1"/>
  <c r="N55" i="15" s="1"/>
  <c r="N27" i="15"/>
  <c r="L63" i="15" s="1"/>
  <c r="N63" i="15" s="1"/>
  <c r="N10" i="15"/>
  <c r="L46" i="15" s="1"/>
  <c r="N46" i="15" s="1"/>
  <c r="N16" i="15"/>
  <c r="L52" i="15" s="1"/>
  <c r="N52" i="15" s="1"/>
  <c r="N18" i="15"/>
  <c r="L54" i="15" s="1"/>
  <c r="N54" i="15" s="1"/>
  <c r="N17" i="15"/>
  <c r="L53" i="15" s="1"/>
  <c r="N53" i="15" s="1"/>
  <c r="N24" i="15"/>
  <c r="L60" i="15" s="1"/>
  <c r="N60" i="15" s="1"/>
  <c r="N28" i="15"/>
  <c r="L64" i="15" s="1"/>
  <c r="N64" i="15" s="1"/>
  <c r="N25" i="15"/>
  <c r="L61" i="15" s="1"/>
  <c r="N61" i="15" s="1"/>
  <c r="N14" i="15"/>
  <c r="L50" i="15" s="1"/>
  <c r="N50" i="15" s="1"/>
  <c r="N21" i="15"/>
  <c r="L57" i="15" s="1"/>
  <c r="N57" i="15" s="1"/>
  <c r="N22" i="15"/>
  <c r="L58" i="15" s="1"/>
  <c r="N58" i="15" s="1"/>
  <c r="N9" i="15"/>
  <c r="G31" i="15"/>
  <c r="L45" i="15" l="1"/>
  <c r="N31" i="1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5" i="5"/>
  <c r="G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5" i="5"/>
  <c r="F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4" i="5"/>
  <c r="D27" i="5"/>
  <c r="D28" i="5"/>
  <c r="G4" i="4"/>
  <c r="H4" i="4" s="1"/>
  <c r="N45" i="15" l="1"/>
  <c r="N67" i="15" s="1"/>
  <c r="L67" i="15"/>
  <c r="E12" i="9" l="1"/>
  <c r="E13" i="9"/>
  <c r="E15" i="9"/>
  <c r="E20" i="9"/>
  <c r="E21" i="9"/>
  <c r="E23" i="9"/>
  <c r="E28" i="9"/>
  <c r="E9" i="9"/>
  <c r="C10" i="9"/>
  <c r="M10" i="9" s="1"/>
  <c r="O10" i="9" s="1"/>
  <c r="P10" i="9" s="1"/>
  <c r="C56" i="9" s="1"/>
  <c r="G56" i="9" s="1"/>
  <c r="C11" i="9"/>
  <c r="M11" i="9" s="1"/>
  <c r="O11" i="9" s="1"/>
  <c r="P11" i="9" s="1"/>
  <c r="C57" i="9" s="1"/>
  <c r="G57" i="9" s="1"/>
  <c r="C12" i="9"/>
  <c r="M12" i="9" s="1"/>
  <c r="O12" i="9" s="1"/>
  <c r="P12" i="9" s="1"/>
  <c r="C58" i="9" s="1"/>
  <c r="G58" i="9" s="1"/>
  <c r="C13" i="9"/>
  <c r="M13" i="9" s="1"/>
  <c r="O13" i="9" s="1"/>
  <c r="P13" i="9" s="1"/>
  <c r="C59" i="9" s="1"/>
  <c r="G59" i="9" s="1"/>
  <c r="C14" i="9"/>
  <c r="M14" i="9" s="1"/>
  <c r="O14" i="9" s="1"/>
  <c r="P14" i="9" s="1"/>
  <c r="C60" i="9" s="1"/>
  <c r="G60" i="9" s="1"/>
  <c r="C15" i="9"/>
  <c r="M15" i="9" s="1"/>
  <c r="O15" i="9" s="1"/>
  <c r="P15" i="9" s="1"/>
  <c r="C61" i="9" s="1"/>
  <c r="G61" i="9" s="1"/>
  <c r="C16" i="9"/>
  <c r="M16" i="9" s="1"/>
  <c r="O16" i="9" s="1"/>
  <c r="P16" i="9" s="1"/>
  <c r="C62" i="9" s="1"/>
  <c r="C17" i="9"/>
  <c r="M17" i="9" s="1"/>
  <c r="O17" i="9" s="1"/>
  <c r="P17" i="9" s="1"/>
  <c r="C63" i="9" s="1"/>
  <c r="G63" i="9" s="1"/>
  <c r="C18" i="9"/>
  <c r="M18" i="9" s="1"/>
  <c r="O18" i="9" s="1"/>
  <c r="P18" i="9" s="1"/>
  <c r="C64" i="9" s="1"/>
  <c r="G64" i="9" s="1"/>
  <c r="C19" i="9"/>
  <c r="M19" i="9" s="1"/>
  <c r="O19" i="9" s="1"/>
  <c r="P19" i="9" s="1"/>
  <c r="C65" i="9" s="1"/>
  <c r="G65" i="9" s="1"/>
  <c r="C20" i="9"/>
  <c r="M20" i="9" s="1"/>
  <c r="O20" i="9" s="1"/>
  <c r="P20" i="9" s="1"/>
  <c r="C66" i="9" s="1"/>
  <c r="G66" i="9" s="1"/>
  <c r="C21" i="9"/>
  <c r="M21" i="9" s="1"/>
  <c r="O21" i="9" s="1"/>
  <c r="P21" i="9" s="1"/>
  <c r="C67" i="9" s="1"/>
  <c r="G67" i="9" s="1"/>
  <c r="C22" i="9"/>
  <c r="M22" i="9" s="1"/>
  <c r="O22" i="9" s="1"/>
  <c r="P22" i="9" s="1"/>
  <c r="C68" i="9" s="1"/>
  <c r="G68" i="9" s="1"/>
  <c r="C23" i="9"/>
  <c r="M23" i="9" s="1"/>
  <c r="O23" i="9" s="1"/>
  <c r="P23" i="9" s="1"/>
  <c r="C69" i="9" s="1"/>
  <c r="G69" i="9" s="1"/>
  <c r="C24" i="9"/>
  <c r="M24" i="9" s="1"/>
  <c r="O24" i="9" s="1"/>
  <c r="P24" i="9" s="1"/>
  <c r="C70" i="9" s="1"/>
  <c r="G70" i="9" s="1"/>
  <c r="C25" i="9"/>
  <c r="M25" i="9" s="1"/>
  <c r="O25" i="9" s="1"/>
  <c r="P25" i="9" s="1"/>
  <c r="C71" i="9" s="1"/>
  <c r="G71" i="9" s="1"/>
  <c r="C26" i="9"/>
  <c r="M26" i="9" s="1"/>
  <c r="O26" i="9" s="1"/>
  <c r="P26" i="9" s="1"/>
  <c r="C72" i="9" s="1"/>
  <c r="G72" i="9" s="1"/>
  <c r="C27" i="9"/>
  <c r="M27" i="9" s="1"/>
  <c r="O27" i="9" s="1"/>
  <c r="P27" i="9" s="1"/>
  <c r="C73" i="9" s="1"/>
  <c r="G73" i="9" s="1"/>
  <c r="C28" i="9"/>
  <c r="M28" i="9" s="1"/>
  <c r="O28" i="9" s="1"/>
  <c r="P28" i="9" s="1"/>
  <c r="C74" i="9" s="1"/>
  <c r="G74" i="9" s="1"/>
  <c r="C9" i="9"/>
  <c r="M9" i="9" s="1"/>
  <c r="O9" i="9" s="1"/>
  <c r="P9" i="9" s="1"/>
  <c r="C55" i="9" s="1"/>
  <c r="G55" i="9" s="1"/>
  <c r="E22" i="9" l="1"/>
  <c r="E14" i="9"/>
  <c r="E26" i="9"/>
  <c r="E18" i="9"/>
  <c r="E10" i="9"/>
  <c r="E27" i="9"/>
  <c r="E19" i="9"/>
  <c r="E11" i="9"/>
  <c r="E25" i="9"/>
  <c r="E17" i="9"/>
  <c r="E24" i="9"/>
  <c r="E16" i="9"/>
  <c r="C76" i="9"/>
  <c r="G62" i="9"/>
  <c r="G76" i="9" s="1"/>
  <c r="M17" i="1"/>
  <c r="E6" i="4" l="1"/>
  <c r="F6" i="4"/>
  <c r="G6" i="4"/>
  <c r="H6" i="4" s="1"/>
  <c r="I6" i="4"/>
  <c r="C7" i="4"/>
  <c r="E7" i="4"/>
  <c r="F7" i="4"/>
  <c r="G7" i="4"/>
  <c r="H7" i="4" s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4" i="5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5" i="11"/>
  <c r="E5" i="11"/>
  <c r="E6" i="11"/>
  <c r="E7" i="11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9" i="9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9" i="6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N17" i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C5" i="6"/>
  <c r="C6" i="6"/>
  <c r="D8" i="1"/>
  <c r="F8" i="1" s="1"/>
  <c r="P8" i="1" s="1"/>
  <c r="R8" i="1" s="1"/>
  <c r="D9" i="1"/>
  <c r="F9" i="1" s="1"/>
  <c r="P9" i="1" s="1"/>
  <c r="R9" i="1" s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K8" i="1" l="1"/>
  <c r="O8" i="1" s="1"/>
  <c r="D63" i="1" s="1"/>
  <c r="K63" i="1" s="1"/>
  <c r="I7" i="4"/>
  <c r="G9" i="1"/>
  <c r="X9" i="1" s="1"/>
  <c r="G8" i="1"/>
  <c r="H8" i="1" s="1"/>
  <c r="K9" i="1"/>
  <c r="O9" i="1" s="1"/>
  <c r="D64" i="1" s="1"/>
  <c r="K64" i="1" s="1"/>
  <c r="Q8" i="1"/>
  <c r="Q9" i="1"/>
  <c r="D16" i="1"/>
  <c r="K16" i="1" s="1"/>
  <c r="D17" i="1"/>
  <c r="K17" i="1" s="1"/>
  <c r="O17" i="1" s="1"/>
  <c r="D72" i="1" s="1"/>
  <c r="K72" i="1" s="1"/>
  <c r="G5" i="13"/>
  <c r="G4" i="13"/>
  <c r="F5" i="13"/>
  <c r="F4" i="13"/>
  <c r="E28" i="11"/>
  <c r="E29" i="11"/>
  <c r="F7" i="13"/>
  <c r="S9" i="1" l="1"/>
  <c r="C64" i="1" s="1"/>
  <c r="J64" i="1" s="1"/>
  <c r="S8" i="1"/>
  <c r="C63" i="1" s="1"/>
  <c r="J63" i="1" s="1"/>
  <c r="I8" i="1"/>
  <c r="I63" i="1" s="1"/>
  <c r="I9" i="1"/>
  <c r="I64" i="1" s="1"/>
  <c r="T8" i="1"/>
  <c r="U8" i="1" s="1"/>
  <c r="E63" i="1" s="1"/>
  <c r="L63" i="1" s="1"/>
  <c r="Y9" i="1"/>
  <c r="G64" i="1" s="1"/>
  <c r="N64" i="1" s="1"/>
  <c r="V9" i="1"/>
  <c r="H9" i="1"/>
  <c r="T9" i="1"/>
  <c r="X8" i="1"/>
  <c r="V8" i="1"/>
  <c r="G7" i="13"/>
  <c r="G6" i="13"/>
  <c r="F6" i="13"/>
  <c r="E13" i="11"/>
  <c r="J9" i="1" l="1"/>
  <c r="B64" i="1"/>
  <c r="J8" i="1"/>
  <c r="B63" i="1"/>
  <c r="Y8" i="1"/>
  <c r="G63" i="1" s="1"/>
  <c r="N63" i="1" s="1"/>
  <c r="U9" i="1"/>
  <c r="E64" i="1" s="1"/>
  <c r="L64" i="1" s="1"/>
  <c r="W9" i="1"/>
  <c r="F64" i="1" s="1"/>
  <c r="M64" i="1" s="1"/>
  <c r="W8" i="1"/>
  <c r="F63" i="1" s="1"/>
  <c r="M63" i="1" s="1"/>
  <c r="F8" i="13"/>
  <c r="G8" i="13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14" i="11"/>
  <c r="E10" i="11"/>
  <c r="E11" i="11"/>
  <c r="E12" i="11"/>
  <c r="E8" i="11"/>
  <c r="E9" i="11"/>
  <c r="E10" i="13" l="1"/>
  <c r="D30" i="11"/>
  <c r="K15" i="8"/>
  <c r="K20" i="8"/>
  <c r="K19" i="8"/>
  <c r="K18" i="8"/>
  <c r="K17" i="8"/>
  <c r="K16" i="8"/>
  <c r="K14" i="8"/>
  <c r="K13" i="8"/>
  <c r="K12" i="8"/>
  <c r="K11" i="8"/>
  <c r="K10" i="8"/>
  <c r="K9" i="8"/>
  <c r="K8" i="8"/>
  <c r="K7" i="8"/>
  <c r="K6" i="8"/>
  <c r="K5" i="8"/>
  <c r="K4" i="8"/>
  <c r="F10" i="13" l="1"/>
  <c r="G10" i="13"/>
  <c r="E11" i="13"/>
  <c r="K28" i="9"/>
  <c r="K27" i="9"/>
  <c r="K26" i="9"/>
  <c r="L26" i="9" s="1"/>
  <c r="B72" i="9" s="1"/>
  <c r="F72" i="9" s="1"/>
  <c r="K25" i="9"/>
  <c r="L25" i="9" s="1"/>
  <c r="B71" i="9" s="1"/>
  <c r="F71" i="9" s="1"/>
  <c r="K24" i="9"/>
  <c r="L24" i="9" s="1"/>
  <c r="B70" i="9" s="1"/>
  <c r="F70" i="9" s="1"/>
  <c r="K23" i="9"/>
  <c r="L23" i="9" s="1"/>
  <c r="B69" i="9" s="1"/>
  <c r="F69" i="9" s="1"/>
  <c r="K22" i="9"/>
  <c r="L22" i="9" s="1"/>
  <c r="B68" i="9" s="1"/>
  <c r="F68" i="9" s="1"/>
  <c r="K21" i="9"/>
  <c r="L21" i="9" s="1"/>
  <c r="B67" i="9" s="1"/>
  <c r="F67" i="9" s="1"/>
  <c r="K20" i="9"/>
  <c r="L20" i="9" s="1"/>
  <c r="B66" i="9" s="1"/>
  <c r="F66" i="9" s="1"/>
  <c r="K19" i="9"/>
  <c r="L19" i="9" s="1"/>
  <c r="B65" i="9" s="1"/>
  <c r="F65" i="9" s="1"/>
  <c r="K18" i="9"/>
  <c r="L18" i="9" s="1"/>
  <c r="B64" i="9" s="1"/>
  <c r="F64" i="9" s="1"/>
  <c r="K17" i="9"/>
  <c r="L17" i="9" s="1"/>
  <c r="B63" i="9" s="1"/>
  <c r="F63" i="9" s="1"/>
  <c r="K16" i="9"/>
  <c r="L16" i="9" s="1"/>
  <c r="B62" i="9" s="1"/>
  <c r="F62" i="9" s="1"/>
  <c r="K15" i="9"/>
  <c r="L15" i="9" s="1"/>
  <c r="B61" i="9" s="1"/>
  <c r="F61" i="9" s="1"/>
  <c r="K14" i="9"/>
  <c r="L14" i="9" s="1"/>
  <c r="B60" i="9" s="1"/>
  <c r="F60" i="9" s="1"/>
  <c r="K13" i="9"/>
  <c r="L13" i="9" s="1"/>
  <c r="B59" i="9" s="1"/>
  <c r="F59" i="9" s="1"/>
  <c r="K12" i="9"/>
  <c r="L12" i="9" s="1"/>
  <c r="B58" i="9" s="1"/>
  <c r="F58" i="9" s="1"/>
  <c r="K11" i="9"/>
  <c r="L11" i="9" s="1"/>
  <c r="B57" i="9" s="1"/>
  <c r="F57" i="9" s="1"/>
  <c r="K10" i="9"/>
  <c r="L10" i="9" s="1"/>
  <c r="B56" i="9" s="1"/>
  <c r="F56" i="9" s="1"/>
  <c r="K9" i="9"/>
  <c r="H18" i="2"/>
  <c r="G18" i="2"/>
  <c r="H17" i="2"/>
  <c r="G17" i="2"/>
  <c r="H16" i="2"/>
  <c r="G16" i="2"/>
  <c r="H15" i="2"/>
  <c r="G15" i="2"/>
  <c r="F8" i="4"/>
  <c r="F5" i="4"/>
  <c r="F4" i="4"/>
  <c r="E8" i="4"/>
  <c r="E5" i="4"/>
  <c r="E4" i="4"/>
  <c r="C5" i="4"/>
  <c r="G5" i="4" s="1"/>
  <c r="H5" i="4" s="1"/>
  <c r="C8" i="4"/>
  <c r="C10" i="4"/>
  <c r="C9" i="4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N9" i="6" s="1"/>
  <c r="C52" i="6" s="1"/>
  <c r="J10" i="6"/>
  <c r="J11" i="6" s="1"/>
  <c r="G11" i="13" l="1"/>
  <c r="F11" i="13"/>
  <c r="F52" i="6"/>
  <c r="F12" i="9"/>
  <c r="G12" i="9"/>
  <c r="D58" i="9" s="1"/>
  <c r="H58" i="9" s="1"/>
  <c r="F11" i="9"/>
  <c r="G11" i="9"/>
  <c r="D57" i="9" s="1"/>
  <c r="H57" i="9" s="1"/>
  <c r="G25" i="9"/>
  <c r="D71" i="9" s="1"/>
  <c r="H71" i="9" s="1"/>
  <c r="F25" i="9"/>
  <c r="G24" i="9"/>
  <c r="D70" i="9" s="1"/>
  <c r="H70" i="9" s="1"/>
  <c r="F24" i="9"/>
  <c r="G23" i="9"/>
  <c r="D69" i="9" s="1"/>
  <c r="H69" i="9" s="1"/>
  <c r="F23" i="9"/>
  <c r="F15" i="9"/>
  <c r="G15" i="9"/>
  <c r="D61" i="9" s="1"/>
  <c r="H61" i="9" s="1"/>
  <c r="G28" i="9"/>
  <c r="D74" i="9" s="1"/>
  <c r="H74" i="9" s="1"/>
  <c r="F28" i="9"/>
  <c r="G27" i="9"/>
  <c r="D73" i="9" s="1"/>
  <c r="H73" i="9" s="1"/>
  <c r="F27" i="9"/>
  <c r="F26" i="9"/>
  <c r="G26" i="9"/>
  <c r="D72" i="9" s="1"/>
  <c r="H72" i="9" s="1"/>
  <c r="G22" i="9"/>
  <c r="D68" i="9" s="1"/>
  <c r="H68" i="9" s="1"/>
  <c r="F22" i="9"/>
  <c r="F14" i="9"/>
  <c r="G14" i="9"/>
  <c r="D60" i="9" s="1"/>
  <c r="H60" i="9" s="1"/>
  <c r="F20" i="9"/>
  <c r="G20" i="9"/>
  <c r="D66" i="9" s="1"/>
  <c r="H66" i="9" s="1"/>
  <c r="G19" i="9"/>
  <c r="D65" i="9" s="1"/>
  <c r="H65" i="9" s="1"/>
  <c r="F19" i="9"/>
  <c r="G18" i="9"/>
  <c r="D64" i="9" s="1"/>
  <c r="H64" i="9" s="1"/>
  <c r="F18" i="9"/>
  <c r="G17" i="9"/>
  <c r="D63" i="9" s="1"/>
  <c r="H63" i="9" s="1"/>
  <c r="F17" i="9"/>
  <c r="G16" i="9"/>
  <c r="D62" i="9" s="1"/>
  <c r="H62" i="9" s="1"/>
  <c r="F16" i="9"/>
  <c r="F10" i="9"/>
  <c r="G10" i="9"/>
  <c r="D56" i="9" s="1"/>
  <c r="H56" i="9" s="1"/>
  <c r="F21" i="9"/>
  <c r="G21" i="9"/>
  <c r="D67" i="9" s="1"/>
  <c r="H67" i="9" s="1"/>
  <c r="F13" i="9"/>
  <c r="G13" i="9"/>
  <c r="D59" i="9" s="1"/>
  <c r="H59" i="9" s="1"/>
  <c r="G9" i="9"/>
  <c r="D55" i="9" s="1"/>
  <c r="F9" i="9"/>
  <c r="E12" i="13"/>
  <c r="P30" i="9"/>
  <c r="L9" i="9"/>
  <c r="B55" i="9" s="1"/>
  <c r="L28" i="9"/>
  <c r="B74" i="9" s="1"/>
  <c r="F74" i="9" s="1"/>
  <c r="N11" i="6"/>
  <c r="C54" i="6" s="1"/>
  <c r="F54" i="6" s="1"/>
  <c r="N10" i="6"/>
  <c r="C53" i="6" s="1"/>
  <c r="F53" i="6" s="1"/>
  <c r="J12" i="6"/>
  <c r="C5" i="1"/>
  <c r="D5" i="1"/>
  <c r="C6" i="1"/>
  <c r="D6" i="1"/>
  <c r="F55" i="9" l="1"/>
  <c r="H55" i="9"/>
  <c r="H76" i="9" s="1"/>
  <c r="D76" i="9"/>
  <c r="F12" i="13"/>
  <c r="G12" i="13"/>
  <c r="E13" i="13"/>
  <c r="L27" i="9"/>
  <c r="B73" i="9" s="1"/>
  <c r="F73" i="9" s="1"/>
  <c r="H30" i="9"/>
  <c r="J13" i="6"/>
  <c r="N12" i="6"/>
  <c r="C55" i="6" s="1"/>
  <c r="F55" i="6" s="1"/>
  <c r="D26" i="1"/>
  <c r="K26" i="1" s="1"/>
  <c r="B76" i="9" l="1"/>
  <c r="F76" i="9"/>
  <c r="F13" i="13"/>
  <c r="G13" i="13"/>
  <c r="E14" i="13"/>
  <c r="L30" i="9"/>
  <c r="F30" i="9"/>
  <c r="J14" i="6"/>
  <c r="N13" i="6"/>
  <c r="C56" i="6" s="1"/>
  <c r="F26" i="1"/>
  <c r="G26" i="1"/>
  <c r="G14" i="13" l="1"/>
  <c r="F14" i="13"/>
  <c r="F56" i="6"/>
  <c r="P26" i="1"/>
  <c r="R26" i="1" s="1"/>
  <c r="V26" i="1"/>
  <c r="X26" i="1"/>
  <c r="H26" i="1"/>
  <c r="I26" i="1"/>
  <c r="I81" i="1" s="1"/>
  <c r="T26" i="1"/>
  <c r="E15" i="13"/>
  <c r="G30" i="9"/>
  <c r="J15" i="6"/>
  <c r="N14" i="6"/>
  <c r="C57" i="6" s="1"/>
  <c r="F57" i="6" s="1"/>
  <c r="O26" i="1"/>
  <c r="D81" i="1" s="1"/>
  <c r="K81" i="1" s="1"/>
  <c r="F8" i="2"/>
  <c r="D9" i="2"/>
  <c r="D10" i="2" s="1"/>
  <c r="D11" i="2" s="1"/>
  <c r="D12" i="2" s="1"/>
  <c r="D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I4" i="4"/>
  <c r="C28" i="6"/>
  <c r="C27" i="6"/>
  <c r="F27" i="6" s="1"/>
  <c r="G27" i="6" s="1"/>
  <c r="I27" i="6" s="1"/>
  <c r="B70" i="6" s="1"/>
  <c r="E70" i="6" s="1"/>
  <c r="C26" i="6"/>
  <c r="F26" i="6" s="1"/>
  <c r="G26" i="6" s="1"/>
  <c r="I26" i="6" s="1"/>
  <c r="B69" i="6" s="1"/>
  <c r="E69" i="6" s="1"/>
  <c r="C25" i="6"/>
  <c r="F25" i="6" s="1"/>
  <c r="G25" i="6" s="1"/>
  <c r="I25" i="6" s="1"/>
  <c r="B68" i="6" s="1"/>
  <c r="E68" i="6" s="1"/>
  <c r="C24" i="6"/>
  <c r="F24" i="6" s="1"/>
  <c r="G24" i="6" s="1"/>
  <c r="I24" i="6" s="1"/>
  <c r="B67" i="6" s="1"/>
  <c r="E67" i="6" s="1"/>
  <c r="C23" i="6"/>
  <c r="F23" i="6" s="1"/>
  <c r="G23" i="6" s="1"/>
  <c r="I23" i="6" s="1"/>
  <c r="B66" i="6" s="1"/>
  <c r="E66" i="6" s="1"/>
  <c r="C22" i="6"/>
  <c r="F22" i="6" s="1"/>
  <c r="G22" i="6" s="1"/>
  <c r="I22" i="6" s="1"/>
  <c r="B65" i="6" s="1"/>
  <c r="E65" i="6" s="1"/>
  <c r="C21" i="6"/>
  <c r="F21" i="6" s="1"/>
  <c r="G21" i="6" s="1"/>
  <c r="I21" i="6" s="1"/>
  <c r="B64" i="6" s="1"/>
  <c r="E64" i="6" s="1"/>
  <c r="C20" i="6"/>
  <c r="F20" i="6" s="1"/>
  <c r="G20" i="6" s="1"/>
  <c r="I20" i="6" s="1"/>
  <c r="B63" i="6" s="1"/>
  <c r="E63" i="6" s="1"/>
  <c r="C19" i="6"/>
  <c r="F19" i="6" s="1"/>
  <c r="G19" i="6" s="1"/>
  <c r="I19" i="6" s="1"/>
  <c r="B62" i="6" s="1"/>
  <c r="E62" i="6" s="1"/>
  <c r="C18" i="6"/>
  <c r="F18" i="6" s="1"/>
  <c r="G18" i="6" s="1"/>
  <c r="I18" i="6" s="1"/>
  <c r="B61" i="6" s="1"/>
  <c r="E61" i="6" s="1"/>
  <c r="C17" i="6"/>
  <c r="F17" i="6" s="1"/>
  <c r="G17" i="6" s="1"/>
  <c r="I17" i="6" s="1"/>
  <c r="B60" i="6" s="1"/>
  <c r="E60" i="6" s="1"/>
  <c r="C16" i="6"/>
  <c r="F16" i="6" s="1"/>
  <c r="G16" i="6" s="1"/>
  <c r="I16" i="6" s="1"/>
  <c r="B59" i="6" s="1"/>
  <c r="E59" i="6" s="1"/>
  <c r="C15" i="6"/>
  <c r="F15" i="6" s="1"/>
  <c r="G15" i="6" s="1"/>
  <c r="I15" i="6" s="1"/>
  <c r="B58" i="6" s="1"/>
  <c r="E58" i="6" s="1"/>
  <c r="C14" i="6"/>
  <c r="F14" i="6" s="1"/>
  <c r="G14" i="6" s="1"/>
  <c r="I14" i="6" s="1"/>
  <c r="B57" i="6" s="1"/>
  <c r="E57" i="6" s="1"/>
  <c r="C13" i="6"/>
  <c r="F13" i="6" s="1"/>
  <c r="G13" i="6" s="1"/>
  <c r="I13" i="6" s="1"/>
  <c r="B56" i="6" s="1"/>
  <c r="E56" i="6" s="1"/>
  <c r="C12" i="6"/>
  <c r="F12" i="6" s="1"/>
  <c r="G12" i="6" s="1"/>
  <c r="I12" i="6" s="1"/>
  <c r="B55" i="6" s="1"/>
  <c r="E55" i="6" s="1"/>
  <c r="C11" i="6"/>
  <c r="F11" i="6" s="1"/>
  <c r="G11" i="6" s="1"/>
  <c r="I11" i="6" s="1"/>
  <c r="B54" i="6" s="1"/>
  <c r="E54" i="6" s="1"/>
  <c r="C10" i="6"/>
  <c r="F10" i="6" s="1"/>
  <c r="G10" i="6" s="1"/>
  <c r="I10" i="6" s="1"/>
  <c r="B53" i="6" s="1"/>
  <c r="E53" i="6" s="1"/>
  <c r="C9" i="6"/>
  <c r="C8" i="6"/>
  <c r="C7" i="6"/>
  <c r="C7" i="1"/>
  <c r="F9" i="6" l="1"/>
  <c r="G9" i="6" s="1"/>
  <c r="Q26" i="1"/>
  <c r="S26" i="1" s="1"/>
  <c r="C81" i="1" s="1"/>
  <c r="J81" i="1" s="1"/>
  <c r="F15" i="13"/>
  <c r="G15" i="13"/>
  <c r="F28" i="6"/>
  <c r="G28" i="6" s="1"/>
  <c r="I28" i="6" s="1"/>
  <c r="J26" i="1"/>
  <c r="B81" i="1"/>
  <c r="U26" i="1"/>
  <c r="E81" i="1" s="1"/>
  <c r="L81" i="1" s="1"/>
  <c r="Y26" i="1"/>
  <c r="G81" i="1" s="1"/>
  <c r="N81" i="1" s="1"/>
  <c r="W26" i="1"/>
  <c r="F81" i="1" s="1"/>
  <c r="M81" i="1" s="1"/>
  <c r="E16" i="13"/>
  <c r="F9" i="4"/>
  <c r="E9" i="4"/>
  <c r="H8" i="2"/>
  <c r="G8" i="2"/>
  <c r="E24" i="8"/>
  <c r="M24" i="8" s="1"/>
  <c r="J16" i="6"/>
  <c r="N15" i="6"/>
  <c r="C58" i="6" s="1"/>
  <c r="D10" i="4"/>
  <c r="G10" i="4" s="1"/>
  <c r="I10" i="4" s="1"/>
  <c r="G8" i="4"/>
  <c r="G9" i="4"/>
  <c r="I9" i="4" s="1"/>
  <c r="D13" i="2"/>
  <c r="I5" i="4"/>
  <c r="H26" i="6"/>
  <c r="H18" i="6"/>
  <c r="H10" i="6"/>
  <c r="I9" i="6" l="1"/>
  <c r="B52" i="6" s="1"/>
  <c r="E52" i="6" s="1"/>
  <c r="H9" i="6"/>
  <c r="F16" i="13"/>
  <c r="G16" i="13"/>
  <c r="B71" i="6"/>
  <c r="I30" i="6"/>
  <c r="F58" i="6"/>
  <c r="E17" i="13"/>
  <c r="H10" i="4"/>
  <c r="H13" i="2"/>
  <c r="G13" i="2"/>
  <c r="E10" i="4"/>
  <c r="F10" i="4"/>
  <c r="G24" i="8"/>
  <c r="F24" i="8"/>
  <c r="H9" i="4"/>
  <c r="J17" i="6"/>
  <c r="N16" i="6"/>
  <c r="C59" i="6" s="1"/>
  <c r="F59" i="6" s="1"/>
  <c r="I8" i="4"/>
  <c r="H8" i="4"/>
  <c r="D11" i="4"/>
  <c r="D14" i="2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H25" i="6"/>
  <c r="H21" i="6"/>
  <c r="H14" i="6"/>
  <c r="H24" i="6"/>
  <c r="H19" i="6"/>
  <c r="H15" i="6"/>
  <c r="H11" i="6"/>
  <c r="H12" i="6"/>
  <c r="H20" i="6"/>
  <c r="H27" i="6"/>
  <c r="H23" i="6"/>
  <c r="H16" i="6"/>
  <c r="H28" i="6"/>
  <c r="H22" i="6"/>
  <c r="H17" i="6"/>
  <c r="H13" i="6"/>
  <c r="G30" i="6"/>
  <c r="F17" i="13" l="1"/>
  <c r="G17" i="13"/>
  <c r="E71" i="6"/>
  <c r="E73" i="6" s="1"/>
  <c r="B73" i="6"/>
  <c r="E18" i="13"/>
  <c r="F11" i="4"/>
  <c r="D12" i="4"/>
  <c r="E11" i="4"/>
  <c r="J18" i="6"/>
  <c r="N17" i="6"/>
  <c r="C60" i="6" s="1"/>
  <c r="F60" i="6" s="1"/>
  <c r="H30" i="6"/>
  <c r="G11" i="4"/>
  <c r="F18" i="13" l="1"/>
  <c r="G18" i="13"/>
  <c r="E19" i="13"/>
  <c r="E12" i="4"/>
  <c r="F12" i="4"/>
  <c r="J19" i="6"/>
  <c r="N18" i="6"/>
  <c r="C61" i="6" s="1"/>
  <c r="F61" i="6" s="1"/>
  <c r="H11" i="4"/>
  <c r="I11" i="4"/>
  <c r="D13" i="4"/>
  <c r="G12" i="4"/>
  <c r="G19" i="13" l="1"/>
  <c r="F19" i="13"/>
  <c r="E20" i="13"/>
  <c r="F13" i="4"/>
  <c r="E13" i="4"/>
  <c r="J20" i="6"/>
  <c r="N19" i="6"/>
  <c r="C62" i="6" s="1"/>
  <c r="F62" i="6" s="1"/>
  <c r="I12" i="4"/>
  <c r="H12" i="4"/>
  <c r="D14" i="4"/>
  <c r="G13" i="4"/>
  <c r="G20" i="13" l="1"/>
  <c r="F20" i="13"/>
  <c r="E21" i="13"/>
  <c r="E14" i="4"/>
  <c r="F14" i="4"/>
  <c r="J21" i="6"/>
  <c r="N20" i="6"/>
  <c r="C63" i="6" s="1"/>
  <c r="F63" i="6" s="1"/>
  <c r="H13" i="4"/>
  <c r="I13" i="4"/>
  <c r="D15" i="4"/>
  <c r="G14" i="4"/>
  <c r="H14" i="4" s="1"/>
  <c r="G21" i="13" l="1"/>
  <c r="F21" i="13"/>
  <c r="E22" i="13"/>
  <c r="F15" i="4"/>
  <c r="E15" i="4"/>
  <c r="J22" i="6"/>
  <c r="N21" i="6"/>
  <c r="C64" i="6" s="1"/>
  <c r="F64" i="6" s="1"/>
  <c r="I14" i="4"/>
  <c r="G15" i="4"/>
  <c r="D16" i="4"/>
  <c r="G22" i="13" l="1"/>
  <c r="F22" i="13"/>
  <c r="E23" i="13"/>
  <c r="E16" i="4"/>
  <c r="F16" i="4"/>
  <c r="F30" i="11"/>
  <c r="J23" i="6"/>
  <c r="N22" i="6"/>
  <c r="C65" i="6" s="1"/>
  <c r="F65" i="6" s="1"/>
  <c r="D17" i="4"/>
  <c r="F17" i="4" s="1"/>
  <c r="G16" i="4"/>
  <c r="I15" i="4"/>
  <c r="H15" i="4"/>
  <c r="I16" i="4" l="1"/>
  <c r="H16" i="4"/>
  <c r="F23" i="13"/>
  <c r="G23" i="13"/>
  <c r="E24" i="13"/>
  <c r="E17" i="4"/>
  <c r="E30" i="11"/>
  <c r="J24" i="6"/>
  <c r="N23" i="6"/>
  <c r="C66" i="6" s="1"/>
  <c r="F66" i="6" s="1"/>
  <c r="D18" i="4"/>
  <c r="G17" i="4"/>
  <c r="F24" i="13" l="1"/>
  <c r="G24" i="13"/>
  <c r="E25" i="13"/>
  <c r="E18" i="4"/>
  <c r="F18" i="4"/>
  <c r="J25" i="6"/>
  <c r="N24" i="6"/>
  <c r="C67" i="6" s="1"/>
  <c r="F67" i="6" s="1"/>
  <c r="I17" i="4"/>
  <c r="H17" i="4"/>
  <c r="D19" i="4"/>
  <c r="G19" i="4" s="1"/>
  <c r="G18" i="4"/>
  <c r="G25" i="13" l="1"/>
  <c r="F25" i="13"/>
  <c r="E26" i="13"/>
  <c r="F19" i="4"/>
  <c r="E19" i="4"/>
  <c r="J26" i="6"/>
  <c r="N25" i="6"/>
  <c r="C68" i="6" s="1"/>
  <c r="F68" i="6" s="1"/>
  <c r="I18" i="4"/>
  <c r="H18" i="4"/>
  <c r="D20" i="4"/>
  <c r="E27" i="13" l="1"/>
  <c r="F26" i="13"/>
  <c r="G26" i="13"/>
  <c r="E28" i="13"/>
  <c r="E20" i="4"/>
  <c r="F20" i="4"/>
  <c r="J27" i="6"/>
  <c r="N26" i="6"/>
  <c r="C69" i="6" s="1"/>
  <c r="F69" i="6" s="1"/>
  <c r="I19" i="4"/>
  <c r="H19" i="4"/>
  <c r="D21" i="4"/>
  <c r="G20" i="4"/>
  <c r="G28" i="13" l="1"/>
  <c r="F28" i="13"/>
  <c r="G27" i="13"/>
  <c r="F27" i="13"/>
  <c r="F29" i="13" s="1"/>
  <c r="G29" i="13"/>
  <c r="F21" i="4"/>
  <c r="E21" i="4"/>
  <c r="J28" i="6"/>
  <c r="N27" i="6"/>
  <c r="C70" i="6" s="1"/>
  <c r="F70" i="6" s="1"/>
  <c r="I20" i="4"/>
  <c r="H20" i="4"/>
  <c r="D22" i="4"/>
  <c r="G21" i="4"/>
  <c r="E22" i="4" l="1"/>
  <c r="F22" i="4"/>
  <c r="N28" i="6"/>
  <c r="C71" i="6" s="1"/>
  <c r="J30" i="6"/>
  <c r="I21" i="4"/>
  <c r="H21" i="4"/>
  <c r="D23" i="4"/>
  <c r="G22" i="4"/>
  <c r="F71" i="6" l="1"/>
  <c r="F73" i="6" s="1"/>
  <c r="C73" i="6"/>
  <c r="F23" i="4"/>
  <c r="E23" i="4"/>
  <c r="N30" i="6"/>
  <c r="I22" i="4"/>
  <c r="H22" i="4"/>
  <c r="D24" i="4"/>
  <c r="G23" i="4"/>
  <c r="F9" i="2"/>
  <c r="F10" i="2"/>
  <c r="F11" i="2"/>
  <c r="F12" i="2"/>
  <c r="F14" i="2"/>
  <c r="F19" i="2"/>
  <c r="F20" i="2"/>
  <c r="F21" i="2"/>
  <c r="F22" i="2"/>
  <c r="F23" i="2"/>
  <c r="F24" i="2"/>
  <c r="F25" i="2"/>
  <c r="F26" i="2"/>
  <c r="F27" i="2"/>
  <c r="H19" i="2" l="1"/>
  <c r="G19" i="2"/>
  <c r="H10" i="2"/>
  <c r="G10" i="2"/>
  <c r="E24" i="4"/>
  <c r="F24" i="4"/>
  <c r="H27" i="2"/>
  <c r="G27" i="2"/>
  <c r="H23" i="2"/>
  <c r="G23" i="2"/>
  <c r="H21" i="2"/>
  <c r="G21" i="2"/>
  <c r="H12" i="2"/>
  <c r="G12" i="2"/>
  <c r="H26" i="2"/>
  <c r="G26" i="2"/>
  <c r="H24" i="2"/>
  <c r="G24" i="2"/>
  <c r="H22" i="2"/>
  <c r="G22" i="2"/>
  <c r="H20" i="2"/>
  <c r="G20" i="2"/>
  <c r="H14" i="2"/>
  <c r="G14" i="2"/>
  <c r="H11" i="2"/>
  <c r="G11" i="2"/>
  <c r="H9" i="2"/>
  <c r="G9" i="2"/>
  <c r="H25" i="2"/>
  <c r="G25" i="2"/>
  <c r="I23" i="4"/>
  <c r="H23" i="4"/>
  <c r="D25" i="4"/>
  <c r="G24" i="4"/>
  <c r="F25" i="4" l="1"/>
  <c r="E25" i="4"/>
  <c r="I24" i="4"/>
  <c r="H24" i="4"/>
  <c r="D26" i="4"/>
  <c r="G25" i="4"/>
  <c r="D7" i="1"/>
  <c r="D10" i="1"/>
  <c r="K10" i="1" s="1"/>
  <c r="D11" i="1"/>
  <c r="K11" i="1" s="1"/>
  <c r="D12" i="1"/>
  <c r="D13" i="1"/>
  <c r="F13" i="1" s="1"/>
  <c r="D14" i="1"/>
  <c r="K14" i="1" s="1"/>
  <c r="D15" i="1"/>
  <c r="K15" i="1" s="1"/>
  <c r="G16" i="1"/>
  <c r="D18" i="1"/>
  <c r="K18" i="1" s="1"/>
  <c r="D19" i="1"/>
  <c r="K19" i="1" s="1"/>
  <c r="D20" i="1"/>
  <c r="D21" i="1"/>
  <c r="D22" i="1"/>
  <c r="K22" i="1" s="1"/>
  <c r="D23" i="1"/>
  <c r="K23" i="1" s="1"/>
  <c r="D24" i="1"/>
  <c r="D25" i="1"/>
  <c r="X16" i="1" l="1"/>
  <c r="V16" i="1"/>
  <c r="T16" i="1"/>
  <c r="I16" i="1"/>
  <c r="K21" i="1"/>
  <c r="O21" i="1" s="1"/>
  <c r="D76" i="1" s="1"/>
  <c r="K76" i="1" s="1"/>
  <c r="G12" i="1"/>
  <c r="K12" i="1"/>
  <c r="G24" i="1"/>
  <c r="K24" i="1"/>
  <c r="K13" i="1"/>
  <c r="O13" i="1" s="1"/>
  <c r="D68" i="1" s="1"/>
  <c r="K68" i="1" s="1"/>
  <c r="G20" i="1"/>
  <c r="K20" i="1"/>
  <c r="K25" i="1"/>
  <c r="O25" i="1" s="1"/>
  <c r="D80" i="1" s="1"/>
  <c r="K80" i="1" s="1"/>
  <c r="K7" i="1"/>
  <c r="O7" i="1" s="1"/>
  <c r="D62" i="1" s="1"/>
  <c r="K62" i="1" s="1"/>
  <c r="E26" i="4"/>
  <c r="F26" i="4"/>
  <c r="O22" i="1"/>
  <c r="D77" i="1" s="1"/>
  <c r="K77" i="1" s="1"/>
  <c r="G22" i="1"/>
  <c r="V22" i="1" s="1"/>
  <c r="W22" i="1" s="1"/>
  <c r="F77" i="1" s="1"/>
  <c r="M77" i="1" s="1"/>
  <c r="O18" i="1"/>
  <c r="D73" i="1" s="1"/>
  <c r="K73" i="1" s="1"/>
  <c r="G18" i="1"/>
  <c r="O14" i="1"/>
  <c r="D69" i="1" s="1"/>
  <c r="K69" i="1" s="1"/>
  <c r="G14" i="1"/>
  <c r="O10" i="1"/>
  <c r="D65" i="1" s="1"/>
  <c r="K65" i="1" s="1"/>
  <c r="G10" i="1"/>
  <c r="D27" i="4"/>
  <c r="G26" i="4"/>
  <c r="G25" i="1"/>
  <c r="G21" i="1"/>
  <c r="G17" i="1"/>
  <c r="G13" i="1"/>
  <c r="G7" i="1"/>
  <c r="I25" i="4"/>
  <c r="H25" i="4"/>
  <c r="G19" i="1"/>
  <c r="H16" i="1"/>
  <c r="G11" i="1"/>
  <c r="F25" i="1"/>
  <c r="F23" i="1"/>
  <c r="P23" i="1" s="1"/>
  <c r="F21" i="1"/>
  <c r="F19" i="1"/>
  <c r="P19" i="1" s="1"/>
  <c r="R19" i="1" s="1"/>
  <c r="F17" i="1"/>
  <c r="F15" i="1"/>
  <c r="P15" i="1" s="1"/>
  <c r="R15" i="1" s="1"/>
  <c r="F11" i="1"/>
  <c r="P11" i="1" s="1"/>
  <c r="R11" i="1" s="1"/>
  <c r="F7" i="1"/>
  <c r="P7" i="1" s="1"/>
  <c r="R7" i="1" s="1"/>
  <c r="G23" i="1"/>
  <c r="G15" i="1"/>
  <c r="F24" i="1"/>
  <c r="P24" i="1" s="1"/>
  <c r="R24" i="1" s="1"/>
  <c r="F22" i="1"/>
  <c r="F20" i="1"/>
  <c r="P20" i="1" s="1"/>
  <c r="R20" i="1" s="1"/>
  <c r="F18" i="1"/>
  <c r="F16" i="1"/>
  <c r="P16" i="1" s="1"/>
  <c r="R16" i="1" s="1"/>
  <c r="F14" i="1"/>
  <c r="F12" i="1"/>
  <c r="P12" i="1" s="1"/>
  <c r="R12" i="1" s="1"/>
  <c r="F10" i="1"/>
  <c r="B71" i="1" l="1"/>
  <c r="I71" i="1"/>
  <c r="Q23" i="1"/>
  <c r="S23" i="1" s="1"/>
  <c r="R23" i="1"/>
  <c r="P17" i="1"/>
  <c r="R17" i="1" s="1"/>
  <c r="P18" i="1"/>
  <c r="R18" i="1" s="1"/>
  <c r="P10" i="1"/>
  <c r="R10" i="1" s="1"/>
  <c r="P21" i="1"/>
  <c r="P14" i="1"/>
  <c r="R14" i="1" s="1"/>
  <c r="P25" i="1"/>
  <c r="R25" i="1" s="1"/>
  <c r="U16" i="1"/>
  <c r="E71" i="1" s="1"/>
  <c r="L71" i="1" s="1"/>
  <c r="P13" i="1"/>
  <c r="R13" i="1" s="1"/>
  <c r="W16" i="1"/>
  <c r="F71" i="1" s="1"/>
  <c r="M71" i="1" s="1"/>
  <c r="P22" i="1"/>
  <c r="Y16" i="1"/>
  <c r="G71" i="1" s="1"/>
  <c r="N71" i="1" s="1"/>
  <c r="X11" i="1"/>
  <c r="V11" i="1"/>
  <c r="X7" i="1"/>
  <c r="V7" i="1"/>
  <c r="H24" i="1"/>
  <c r="V24" i="1"/>
  <c r="X24" i="1"/>
  <c r="V13" i="1"/>
  <c r="X13" i="1"/>
  <c r="V10" i="1"/>
  <c r="X10" i="1"/>
  <c r="V19" i="1"/>
  <c r="X19" i="1"/>
  <c r="X17" i="1"/>
  <c r="V17" i="1"/>
  <c r="V12" i="1"/>
  <c r="X12" i="1"/>
  <c r="X15" i="1"/>
  <c r="V15" i="1"/>
  <c r="V21" i="1"/>
  <c r="X21" i="1"/>
  <c r="V14" i="1"/>
  <c r="X14" i="1"/>
  <c r="V20" i="1"/>
  <c r="X20" i="1"/>
  <c r="H20" i="1"/>
  <c r="X25" i="1"/>
  <c r="V25" i="1"/>
  <c r="W25" i="1" s="1"/>
  <c r="F80" i="1" s="1"/>
  <c r="M80" i="1" s="1"/>
  <c r="X23" i="1"/>
  <c r="V23" i="1"/>
  <c r="V18" i="1"/>
  <c r="X18" i="1"/>
  <c r="X22" i="1"/>
  <c r="H17" i="1"/>
  <c r="I17" i="1"/>
  <c r="I72" i="1" s="1"/>
  <c r="T17" i="1"/>
  <c r="T20" i="1"/>
  <c r="I20" i="1"/>
  <c r="I75" i="1" s="1"/>
  <c r="H15" i="1"/>
  <c r="I15" i="1"/>
  <c r="I70" i="1" s="1"/>
  <c r="T15" i="1"/>
  <c r="H19" i="1"/>
  <c r="I19" i="1"/>
  <c r="I74" i="1" s="1"/>
  <c r="T19" i="1"/>
  <c r="H13" i="1"/>
  <c r="I13" i="1"/>
  <c r="T13" i="1"/>
  <c r="H18" i="1"/>
  <c r="T18" i="1"/>
  <c r="I18" i="1"/>
  <c r="I73" i="1" s="1"/>
  <c r="I24" i="1"/>
  <c r="I79" i="1" s="1"/>
  <c r="T24" i="1"/>
  <c r="H23" i="1"/>
  <c r="I23" i="1"/>
  <c r="I78" i="1" s="1"/>
  <c r="T23" i="1"/>
  <c r="H22" i="1"/>
  <c r="T22" i="1"/>
  <c r="I22" i="1"/>
  <c r="I77" i="1" s="1"/>
  <c r="T12" i="1"/>
  <c r="I12" i="1"/>
  <c r="I67" i="1" s="1"/>
  <c r="H21" i="1"/>
  <c r="I21" i="1"/>
  <c r="I76" i="1" s="1"/>
  <c r="T21" i="1"/>
  <c r="I10" i="1"/>
  <c r="T10" i="1"/>
  <c r="H10" i="1"/>
  <c r="H11" i="1"/>
  <c r="I11" i="1"/>
  <c r="I66" i="1" s="1"/>
  <c r="T11" i="1"/>
  <c r="H12" i="1"/>
  <c r="H7" i="1"/>
  <c r="I7" i="1"/>
  <c r="T7" i="1"/>
  <c r="H25" i="1"/>
  <c r="T25" i="1"/>
  <c r="U25" i="1" s="1"/>
  <c r="I25" i="1"/>
  <c r="H14" i="1"/>
  <c r="I14" i="1"/>
  <c r="I69" i="1" s="1"/>
  <c r="T14" i="1"/>
  <c r="F27" i="4"/>
  <c r="E27" i="4"/>
  <c r="O11" i="1"/>
  <c r="D66" i="1" s="1"/>
  <c r="K66" i="1" s="1"/>
  <c r="O19" i="1"/>
  <c r="D74" i="1" s="1"/>
  <c r="K74" i="1" s="1"/>
  <c r="O16" i="1"/>
  <c r="D71" i="1" s="1"/>
  <c r="K71" i="1" s="1"/>
  <c r="O24" i="1"/>
  <c r="D79" i="1" s="1"/>
  <c r="K79" i="1" s="1"/>
  <c r="O15" i="1"/>
  <c r="D70" i="1" s="1"/>
  <c r="O23" i="1"/>
  <c r="D78" i="1" s="1"/>
  <c r="K78" i="1" s="1"/>
  <c r="O12" i="1"/>
  <c r="D67" i="1" s="1"/>
  <c r="K67" i="1" s="1"/>
  <c r="O20" i="1"/>
  <c r="D75" i="1" s="1"/>
  <c r="K75" i="1" s="1"/>
  <c r="K29" i="1"/>
  <c r="I26" i="4"/>
  <c r="H26" i="4"/>
  <c r="D28" i="4"/>
  <c r="D30" i="4" s="1"/>
  <c r="G30" i="4" s="1"/>
  <c r="H30" i="4" s="1"/>
  <c r="G27" i="4"/>
  <c r="Q7" i="1"/>
  <c r="S7" i="1" s="1"/>
  <c r="J16" i="1"/>
  <c r="G29" i="1"/>
  <c r="Q14" i="1" l="1"/>
  <c r="Q10" i="1"/>
  <c r="S10" i="1" s="1"/>
  <c r="C65" i="1" s="1"/>
  <c r="J65" i="1" s="1"/>
  <c r="Q18" i="1"/>
  <c r="Q17" i="1"/>
  <c r="S17" i="1" s="1"/>
  <c r="C72" i="1" s="1"/>
  <c r="J72" i="1" s="1"/>
  <c r="B80" i="1"/>
  <c r="I80" i="1"/>
  <c r="D84" i="1"/>
  <c r="K70" i="1"/>
  <c r="K84" i="1" s="1"/>
  <c r="Q21" i="1"/>
  <c r="S21" i="1" s="1"/>
  <c r="C76" i="1" s="1"/>
  <c r="J76" i="1" s="1"/>
  <c r="R21" i="1"/>
  <c r="B62" i="1"/>
  <c r="I62" i="1"/>
  <c r="R22" i="1"/>
  <c r="Q22" i="1"/>
  <c r="S22" i="1" s="1"/>
  <c r="C77" i="1" s="1"/>
  <c r="J77" i="1" s="1"/>
  <c r="S18" i="1"/>
  <c r="C73" i="1" s="1"/>
  <c r="J73" i="1" s="1"/>
  <c r="S14" i="1"/>
  <c r="C69" i="1" s="1"/>
  <c r="J69" i="1" s="1"/>
  <c r="B65" i="1"/>
  <c r="I65" i="1"/>
  <c r="B68" i="1"/>
  <c r="I68" i="1"/>
  <c r="J11" i="1"/>
  <c r="B66" i="1"/>
  <c r="J19" i="1"/>
  <c r="B74" i="1"/>
  <c r="J22" i="1"/>
  <c r="B77" i="1"/>
  <c r="J7" i="1"/>
  <c r="J15" i="1"/>
  <c r="B70" i="1"/>
  <c r="J12" i="1"/>
  <c r="B67" i="1"/>
  <c r="J24" i="1"/>
  <c r="B79" i="1"/>
  <c r="J17" i="1"/>
  <c r="B72" i="1"/>
  <c r="J18" i="1"/>
  <c r="B73" i="1"/>
  <c r="J14" i="1"/>
  <c r="B69" i="1"/>
  <c r="J21" i="1"/>
  <c r="B76" i="1"/>
  <c r="J23" i="1"/>
  <c r="B78" i="1"/>
  <c r="J20" i="1"/>
  <c r="B75" i="1"/>
  <c r="Q25" i="1"/>
  <c r="U7" i="1"/>
  <c r="U19" i="1"/>
  <c r="E74" i="1" s="1"/>
  <c r="L74" i="1" s="1"/>
  <c r="Y15" i="1"/>
  <c r="G70" i="1" s="1"/>
  <c r="N70" i="1" s="1"/>
  <c r="W10" i="1"/>
  <c r="F65" i="1" s="1"/>
  <c r="M65" i="1" s="1"/>
  <c r="W11" i="1"/>
  <c r="F66" i="1" s="1"/>
  <c r="M66" i="1" s="1"/>
  <c r="U12" i="1"/>
  <c r="E67" i="1" s="1"/>
  <c r="L67" i="1" s="1"/>
  <c r="Y12" i="1"/>
  <c r="G67" i="1" s="1"/>
  <c r="N67" i="1" s="1"/>
  <c r="Y11" i="1"/>
  <c r="G66" i="1" s="1"/>
  <c r="N66" i="1" s="1"/>
  <c r="U14" i="1"/>
  <c r="E69" i="1" s="1"/>
  <c r="L69" i="1" s="1"/>
  <c r="W20" i="1"/>
  <c r="F75" i="1" s="1"/>
  <c r="M75" i="1" s="1"/>
  <c r="W13" i="1"/>
  <c r="F68" i="1" s="1"/>
  <c r="M68" i="1" s="1"/>
  <c r="U10" i="1"/>
  <c r="E65" i="1" s="1"/>
  <c r="L65" i="1" s="1"/>
  <c r="U18" i="1"/>
  <c r="E73" i="1" s="1"/>
  <c r="L73" i="1" s="1"/>
  <c r="Y22" i="1"/>
  <c r="G77" i="1" s="1"/>
  <c r="N77" i="1" s="1"/>
  <c r="Y14" i="1"/>
  <c r="G69" i="1" s="1"/>
  <c r="Y24" i="1"/>
  <c r="G79" i="1" s="1"/>
  <c r="N79" i="1" s="1"/>
  <c r="W14" i="1"/>
  <c r="F69" i="1" s="1"/>
  <c r="W24" i="1"/>
  <c r="F79" i="1" s="1"/>
  <c r="M79" i="1" s="1"/>
  <c r="Q13" i="1"/>
  <c r="U21" i="1"/>
  <c r="E76" i="1" s="1"/>
  <c r="L76" i="1" s="1"/>
  <c r="U13" i="1"/>
  <c r="E68" i="1" s="1"/>
  <c r="Y23" i="1"/>
  <c r="G78" i="1" s="1"/>
  <c r="N78" i="1" s="1"/>
  <c r="Y19" i="1"/>
  <c r="G74" i="1" s="1"/>
  <c r="N74" i="1" s="1"/>
  <c r="W21" i="1"/>
  <c r="F76" i="1" s="1"/>
  <c r="M76" i="1" s="1"/>
  <c r="W19" i="1"/>
  <c r="F74" i="1" s="1"/>
  <c r="M74" i="1" s="1"/>
  <c r="W7" i="1"/>
  <c r="W29" i="1" s="1"/>
  <c r="U24" i="1"/>
  <c r="E79" i="1" s="1"/>
  <c r="L79" i="1" s="1"/>
  <c r="U17" i="1"/>
  <c r="E72" i="1" s="1"/>
  <c r="L72" i="1" s="1"/>
  <c r="Y20" i="1"/>
  <c r="G75" i="1" s="1"/>
  <c r="N75" i="1" s="1"/>
  <c r="Y13" i="1"/>
  <c r="G68" i="1" s="1"/>
  <c r="N68" i="1" s="1"/>
  <c r="Y18" i="1"/>
  <c r="G73" i="1" s="1"/>
  <c r="N73" i="1" s="1"/>
  <c r="W12" i="1"/>
  <c r="F67" i="1" s="1"/>
  <c r="M67" i="1" s="1"/>
  <c r="U22" i="1"/>
  <c r="E77" i="1" s="1"/>
  <c r="L77" i="1" s="1"/>
  <c r="U15" i="1"/>
  <c r="E70" i="1" s="1"/>
  <c r="L70" i="1" s="1"/>
  <c r="W18" i="1"/>
  <c r="F73" i="1" s="1"/>
  <c r="M73" i="1" s="1"/>
  <c r="W17" i="1"/>
  <c r="F72" i="1" s="1"/>
  <c r="M72" i="1" s="1"/>
  <c r="W23" i="1"/>
  <c r="F78" i="1" s="1"/>
  <c r="M78" i="1" s="1"/>
  <c r="Y17" i="1"/>
  <c r="G72" i="1" s="1"/>
  <c r="N72" i="1" s="1"/>
  <c r="U23" i="1"/>
  <c r="E78" i="1" s="1"/>
  <c r="L78" i="1" s="1"/>
  <c r="Y21" i="1"/>
  <c r="G76" i="1" s="1"/>
  <c r="N76" i="1" s="1"/>
  <c r="E80" i="1"/>
  <c r="L80" i="1" s="1"/>
  <c r="U11" i="1"/>
  <c r="E66" i="1" s="1"/>
  <c r="L66" i="1" s="1"/>
  <c r="U20" i="1"/>
  <c r="E75" i="1" s="1"/>
  <c r="L75" i="1" s="1"/>
  <c r="Y25" i="1"/>
  <c r="G80" i="1" s="1"/>
  <c r="N80" i="1" s="1"/>
  <c r="W15" i="1"/>
  <c r="F70" i="1" s="1"/>
  <c r="M70" i="1" s="1"/>
  <c r="Y10" i="1"/>
  <c r="G65" i="1" s="1"/>
  <c r="N65" i="1" s="1"/>
  <c r="Y7" i="1"/>
  <c r="H29" i="1"/>
  <c r="X29" i="1"/>
  <c r="V29" i="1"/>
  <c r="J13" i="1"/>
  <c r="J10" i="1"/>
  <c r="J25" i="1"/>
  <c r="T29" i="1"/>
  <c r="Q12" i="1"/>
  <c r="Q11" i="1"/>
  <c r="Q24" i="1"/>
  <c r="I29" i="1"/>
  <c r="E28" i="4"/>
  <c r="F28" i="4"/>
  <c r="G29" i="5"/>
  <c r="F29" i="5"/>
  <c r="Q19" i="1"/>
  <c r="O29" i="1"/>
  <c r="C62" i="1"/>
  <c r="I27" i="4"/>
  <c r="H27" i="4"/>
  <c r="Q20" i="1"/>
  <c r="Q15" i="1"/>
  <c r="S15" i="1" s="1"/>
  <c r="Q16" i="1"/>
  <c r="G28" i="4"/>
  <c r="E62" i="1" l="1"/>
  <c r="L62" i="1" s="1"/>
  <c r="U29" i="1"/>
  <c r="G62" i="1"/>
  <c r="N62" i="1" s="1"/>
  <c r="Y29" i="1"/>
  <c r="J62" i="1"/>
  <c r="S13" i="1"/>
  <c r="C68" i="1" s="1"/>
  <c r="J68" i="1" s="1"/>
  <c r="I84" i="1"/>
  <c r="S11" i="1"/>
  <c r="C66" i="1" s="1"/>
  <c r="J66" i="1" s="1"/>
  <c r="S25" i="1"/>
  <c r="C80" i="1" s="1"/>
  <c r="J80" i="1" s="1"/>
  <c r="S20" i="1"/>
  <c r="C75" i="1" s="1"/>
  <c r="J75" i="1" s="1"/>
  <c r="S12" i="1"/>
  <c r="C67" i="1" s="1"/>
  <c r="J67" i="1" s="1"/>
  <c r="G84" i="1"/>
  <c r="N69" i="1"/>
  <c r="F62" i="1"/>
  <c r="M62" i="1" s="1"/>
  <c r="S19" i="1"/>
  <c r="C74" i="1" s="1"/>
  <c r="J74" i="1" s="1"/>
  <c r="E84" i="1"/>
  <c r="L68" i="1"/>
  <c r="L84" i="1" s="1"/>
  <c r="S16" i="1"/>
  <c r="C71" i="1" s="1"/>
  <c r="J71" i="1" s="1"/>
  <c r="S24" i="1"/>
  <c r="C79" i="1" s="1"/>
  <c r="J79" i="1" s="1"/>
  <c r="M69" i="1"/>
  <c r="B84" i="1"/>
  <c r="I30" i="4"/>
  <c r="C78" i="1"/>
  <c r="J78" i="1" s="1"/>
  <c r="C70" i="1"/>
  <c r="J70" i="1" s="1"/>
  <c r="Q29" i="1"/>
  <c r="I28" i="4"/>
  <c r="H28" i="4"/>
  <c r="N84" i="1" l="1"/>
  <c r="C84" i="1"/>
  <c r="M84" i="1"/>
  <c r="J84" i="1"/>
  <c r="F84" i="1"/>
  <c r="S29" i="1"/>
</calcChain>
</file>

<file path=xl/sharedStrings.xml><?xml version="1.0" encoding="utf-8"?>
<sst xmlns="http://schemas.openxmlformats.org/spreadsheetml/2006/main" count="342" uniqueCount="235">
  <si>
    <t>Year</t>
  </si>
  <si>
    <t>ADT</t>
  </si>
  <si>
    <t># Households</t>
  </si>
  <si>
    <t>Daily Trip Miles Saved per Household</t>
  </si>
  <si>
    <t>Total Daily Miles Saved</t>
  </si>
  <si>
    <t>Total Gallons of fuel saved</t>
  </si>
  <si>
    <t>Miles Saved</t>
  </si>
  <si>
    <r>
      <t>Metric Tons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</t>
    </r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</si>
  <si>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</t>
    </r>
  </si>
  <si>
    <t>Travel Time saved Per Day (Hours)</t>
  </si>
  <si>
    <t>Travel Time saved per year (hours)</t>
  </si>
  <si>
    <t>Value of time saved per day</t>
  </si>
  <si>
    <t>Value of time saved per year</t>
  </si>
  <si>
    <t>MV/year</t>
  </si>
  <si>
    <t>Accident Reduction / MV</t>
  </si>
  <si>
    <t># Accidents Reduced</t>
  </si>
  <si>
    <t>Value of Collision Reduction</t>
  </si>
  <si>
    <t>Discounted 3%</t>
  </si>
  <si>
    <t>Median home price</t>
  </si>
  <si>
    <t>3% Discount</t>
  </si>
  <si>
    <t>7% Discount</t>
  </si>
  <si>
    <t>Total Residential Property Value</t>
  </si>
  <si>
    <t>Net Increase</t>
  </si>
  <si>
    <t>Area (SY)</t>
  </si>
  <si>
    <t>Cost ($/SY)</t>
  </si>
  <si>
    <t>Crack Seal</t>
  </si>
  <si>
    <t>Chip Seal</t>
  </si>
  <si>
    <t>Total Cost</t>
  </si>
  <si>
    <t>No Maintenance</t>
  </si>
  <si>
    <t>Thin Overlay</t>
  </si>
  <si>
    <t>Discounted 7%</t>
  </si>
  <si>
    <t>Maintenance Action</t>
  </si>
  <si>
    <t>Totals</t>
  </si>
  <si>
    <t>% Trips saved by walking</t>
  </si>
  <si>
    <t>Length of individual trips saved (miles)</t>
  </si>
  <si>
    <t>Column K: SCC values from TIGER BCA Resource Guide page 6 of 19</t>
  </si>
  <si>
    <t>Average Annual Savings Per Light</t>
  </si>
  <si>
    <t>Total Savings over Incandescent</t>
  </si>
  <si>
    <t>3% and 7% discounting of savings (per Federal Register/Vol. 77, No. 20/ Tuesday, January 31, 2012/Notices page 4878)</t>
  </si>
  <si>
    <t>Pavement Maintenance Cost - With Project</t>
  </si>
  <si>
    <t xml:space="preserve">NPV CO2 Costs @ 3% Avg SCC </t>
  </si>
  <si>
    <t>Social Cost of Carbon @ a 3% Average in 2007$ (per ton)</t>
  </si>
  <si>
    <t>Social Cost of Carbon @ a 3% Average in 2013$ (per ton)</t>
  </si>
  <si>
    <t>Column L: SCC values converted from 2007$ to 2013$ (the most recent values available) using Consumer Price Index Values, see BAC Resource Guide page 11 of 21 (http://www.bls.gov/cpi/cpid1401.pdf   see Table 24)</t>
  </si>
  <si>
    <t>Project Year</t>
  </si>
  <si>
    <t>Column B: Lifespan of project by year</t>
  </si>
  <si>
    <t>Column F:  Daily trip miles x # Households</t>
  </si>
  <si>
    <t>Column G: Daily miles saved x 365 (366 in leap years)</t>
  </si>
  <si>
    <t>Column H: Assume 20 mpg for passenger cars</t>
  </si>
  <si>
    <t>Column J: Cost savings divided by # Households (per year savings)</t>
  </si>
  <si>
    <t>Column M: SCC values converted from 2007$ to 2013$ (the most recent values available) using Consumer Price Index Values, see BAC Resource Guide page 11 of 21 (http://www.bls.gov/cpi/cpid1401.pdf   see Table 24)</t>
  </si>
  <si>
    <t>Column Q: Travel time saved per day x 365</t>
  </si>
  <si>
    <t>Column B:  Calendar year</t>
  </si>
  <si>
    <t>Column A:  Project Year</t>
  </si>
  <si>
    <t>Column O: Metric tons saved x NPV of SCC</t>
  </si>
  <si>
    <t>Column D: % of ADT saved by walking</t>
  </si>
  <si>
    <t>Column E:  Length of each individual trip saved</t>
  </si>
  <si>
    <t>Column F:  ADT x % of trips saved x Length of each trip saved</t>
  </si>
  <si>
    <t>Column J:  From www.carbonfootprint.com/calculator.aspx, Footprint for # miles (column G) using a base 2009 Ford Focus FWD</t>
  </si>
  <si>
    <t>Column A: Project years</t>
  </si>
  <si>
    <t>Column E:  3% discount of median home price</t>
  </si>
  <si>
    <t>Column F:  7% discount of median home price</t>
  </si>
  <si>
    <t>Column G: Median home price x # Households</t>
  </si>
  <si>
    <t>Column H: 3% discount of total residential property value</t>
  </si>
  <si>
    <t>Column I:  7% discount of total residential property value</t>
  </si>
  <si>
    <t>Column C: Area to be used for commercial development</t>
  </si>
  <si>
    <t>Column N: Metric tons saved x NPV of SCC</t>
  </si>
  <si>
    <t># New Solar Street Lights</t>
  </si>
  <si>
    <t>Column G: Daily miles saved x 365 (366 for leap years)</t>
  </si>
  <si>
    <t>Column A: Project year</t>
  </si>
  <si>
    <t>Column B: Year</t>
  </si>
  <si>
    <t>Column C: # Existing Street Lights replaced or taken out of service as a result of the project</t>
  </si>
  <si>
    <t>Column D: Annual savings of solar street light over incandescent street light per Global Green Energy www.gg-energy.com</t>
  </si>
  <si>
    <t>Column E: # New Lights x Annual Savings per Light</t>
  </si>
  <si>
    <t>Column F: Discounting of savings at 3%</t>
  </si>
  <si>
    <t>Column G: Discounting of savings at 7%</t>
  </si>
  <si>
    <t>Column I: SCC values from TIGER BCA Resource Guide page 7 of 21 in 2007$</t>
  </si>
  <si>
    <t>Column L: Metric tons saved x NPV of SCC</t>
  </si>
  <si>
    <t>Passenger car miles eliminated (per year)</t>
  </si>
  <si>
    <t>Column N: Net Present Value of CO2 Costs based on TIGER BAC Resource Guide (page 8 of 21 and Table 2) SCC/(1.03^Project Year)</t>
  </si>
  <si>
    <t>Column M: Net Present Value of CO2 Costs based on TIGER BAC Resource Guide (page 8 of 21 and Table 2) SCC/(1.03^Project Year)</t>
  </si>
  <si>
    <t>Column K: Net Present Value of CO2 Costs based on TIGER BAC Resource Guide (page 8 of 21 and Table 2) SCC/(1.03^Project Year)</t>
  </si>
  <si>
    <t>Maintenance Cost</t>
  </si>
  <si>
    <t>Total Miles Traveled</t>
  </si>
  <si>
    <t>Shoshone Bannock Tribe, ID - Benefits Related to Travel</t>
  </si>
  <si>
    <t>Shoshone Bannock Tribe, ID - Benefits Related to Residential Property Value</t>
  </si>
  <si>
    <t>Column C:  # households in Shoshone Bannock Tribe, ID with a 1% per year growth rate</t>
  </si>
  <si>
    <t>Column D: Median home price in Shoshone Bannock Tribe, ID from US Census for 2008-2012.  Reflects a 2% increase in residential property values for 4 years post-construction (beginning in 2015)</t>
  </si>
  <si>
    <t>Shoshone Bannock Tribe, ID - Solar Lighting Savings</t>
  </si>
  <si>
    <t>Shoshone Bannock Tribe, ID - Benefits Related to Addition of Storm Drains</t>
  </si>
  <si>
    <t>Reduced maintance cost</t>
  </si>
  <si>
    <t>Increased service area</t>
  </si>
  <si>
    <t>Increased ridership</t>
  </si>
  <si>
    <t>New area to be  developed (Acres)</t>
  </si>
  <si>
    <t xml:space="preserve">Column F:  7% discount </t>
  </si>
  <si>
    <t>Column C:  Volume of average daily traffic on Ross Fork Road through Fort Hall, ID with a 1% per year growth rate</t>
  </si>
  <si>
    <t>https://datausa.io/profile/geo/fort-hall-id/</t>
  </si>
  <si>
    <t>Median property value: $110,200</t>
  </si>
  <si>
    <t>Column D: # Households in Fort Hall, ID with a 1% per year growth rate (https://suburbanstats.org/population/idaho/how-many-people-live-in-fort-hall)</t>
  </si>
  <si>
    <t>Vehicle Operating Costs Saved</t>
  </si>
  <si>
    <t>Vehicle Operating Costs Saved per Household</t>
  </si>
  <si>
    <t>Column I:  Use BCA guide: $0.39 per mile for light duty vehicles (page 31)</t>
  </si>
  <si>
    <t>Column K:  From www.carbonfootprint.com/calculator.aspx, 1.13 metric tons of CO2 saved per household per year (3120 miles per household using a 2010 Ford Focus)</t>
  </si>
  <si>
    <t>Column R: $14.80/ hour cited from BCA Resource Guide</t>
  </si>
  <si>
    <t>Column S: Travel time saved per year x $14.80/hr</t>
  </si>
  <si>
    <t>Metric Tons of VOC Saved</t>
  </si>
  <si>
    <t>Metric Tons of NOX Saved</t>
  </si>
  <si>
    <t>Operating Cost Savings</t>
  </si>
  <si>
    <t>Column H: Assume 20 mpg for passenger cars and 10 mpg for the busses</t>
  </si>
  <si>
    <t>Bus Maintenance Cost</t>
  </si>
  <si>
    <t>Sidewalk and paved shoulder benefits</t>
  </si>
  <si>
    <t>Metric Tons of PM Saved</t>
  </si>
  <si>
    <t>Column L: SCC values from  https://19january2017snapshot.epa.gov/climatechange/social-cost-carbon_.html</t>
  </si>
  <si>
    <t>Social Cost of Carbon @ a 3% Average in 2017$ (per ton)</t>
  </si>
  <si>
    <t>http://www.lrc.rpi.edu/programs/NLPIP/PDF/VIEW/SR_StreetlightsLocal.pdf</t>
  </si>
  <si>
    <t>Use 180 lights</t>
  </si>
  <si>
    <t>https://aceee.org/partnerships-reduce-energy-use-public-outdoor</t>
  </si>
  <si>
    <t>Lower maintenance cost</t>
  </si>
  <si>
    <t>30-50% reduction in energy usage</t>
  </si>
  <si>
    <t>Social Cost of VOC (using $/short ton)</t>
  </si>
  <si>
    <t>Social Cost of PM (using ($ per short ton)</t>
  </si>
  <si>
    <t>Social Cost of NOX (using $ per short ton)</t>
  </si>
  <si>
    <t>Increased ridership (per year)</t>
  </si>
  <si>
    <t>Passenger car miles eliminated per passenger</t>
  </si>
  <si>
    <t xml:space="preserve">Column D: Commercial Value = $150,750 / Acre; Agricultural Value = $3,200 / Acre. </t>
  </si>
  <si>
    <t xml:space="preserve">Column P: Total Daily Miles Saved divided by 60 mph, multiplied by 2 passengers per trip </t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</si>
  <si>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 at 3%</t>
    </r>
  </si>
  <si>
    <t>Vehicle Operating Costs Saved 3% Discount</t>
  </si>
  <si>
    <t>Value of Time Saved 3% Discount</t>
  </si>
  <si>
    <t>Value of Collision Reduction at 3%</t>
  </si>
  <si>
    <t>Social Cost of VOC at 3%</t>
  </si>
  <si>
    <t>Social Cost of PM at 3%</t>
  </si>
  <si>
    <t>Social Cost of NOX at 3%</t>
  </si>
  <si>
    <t>Vehicle Operating Costs Saved 7% Discount</t>
  </si>
  <si>
    <t>Value of Time Saved 7% Discount</t>
  </si>
  <si>
    <t>Value of CO2 Saved at 7%</t>
  </si>
  <si>
    <t>Value of Collision Reduction at 7%</t>
  </si>
  <si>
    <t>Social Cost of VOC at 7%</t>
  </si>
  <si>
    <t>Social Cost of PM at 7%</t>
  </si>
  <si>
    <t>Social Cost of NOX at 7%</t>
  </si>
  <si>
    <t>Operating Cost Savings at 3%</t>
  </si>
  <si>
    <t>Value of CO2 at 3%</t>
  </si>
  <si>
    <t>Operating Cost Savings at 7%</t>
  </si>
  <si>
    <t>Value of CO2 at 7%</t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</si>
  <si>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 at 7%</t>
    </r>
  </si>
  <si>
    <r>
      <t xml:space="preserve">Value </t>
    </r>
    <r>
      <rPr>
        <b/>
        <sz val="11"/>
        <color theme="1"/>
        <rFont val="Calibri"/>
        <family val="2"/>
        <scheme val="minor"/>
      </rPr>
      <t xml:space="preserve"> Collsion Reduction at 3%</t>
    </r>
  </si>
  <si>
    <r>
      <t xml:space="preserve">Value of </t>
    </r>
    <r>
      <rPr>
        <b/>
        <sz val="11"/>
        <color theme="1"/>
        <rFont val="Calibri"/>
        <family val="2"/>
        <scheme val="minor"/>
      </rPr>
      <t>Collsion Reduction at 7%</t>
    </r>
  </si>
  <si>
    <t>Column E:  Assuming a typical household makes saves 2 trips to Pocatello, ID per week for goods and services (30-mile round trip), 30 trips*2 trips per week/7 days per week</t>
  </si>
  <si>
    <t>Miles Saved per year</t>
  </si>
  <si>
    <t>Column I:  Use BCA guide operating cost of passenger cars, $0.39 per mile</t>
  </si>
  <si>
    <t>Column E:  3% discount of increase in property value</t>
  </si>
  <si>
    <t>Column F:  7% discount of increase in property value</t>
  </si>
  <si>
    <t>Increase in property value per acre</t>
  </si>
  <si>
    <t>Total Increase in Property Value</t>
  </si>
  <si>
    <t>Column J: SCC values converted from 2007$ to 2017$ (the most recent values available) using Consumer Price Index Values, see BAC Resource Guide page 11 of 21 (http://www.bls.gov/cpi/cpid1401.pdf   see Table 24)</t>
  </si>
  <si>
    <t>Column H: CO2 savings of 930 lbs/light/year x 16 lights / 2205 lbs/metric ton per Global Green Energy www.gg-energy.com</t>
  </si>
  <si>
    <t>Value of CO2 Saved at 3%</t>
  </si>
  <si>
    <t>Property Damage</t>
  </si>
  <si>
    <t>Personal Injury</t>
  </si>
  <si>
    <t>Fatality</t>
  </si>
  <si>
    <t>Cost</t>
  </si>
  <si>
    <t>U</t>
  </si>
  <si>
    <t>O</t>
  </si>
  <si>
    <t>K</t>
  </si>
  <si>
    <t>Type</t>
  </si>
  <si>
    <t>KABCO Level</t>
  </si>
  <si>
    <t>Total Accidents</t>
  </si>
  <si>
    <t>Per Vehicle</t>
  </si>
  <si>
    <t>Injury Costs</t>
  </si>
  <si>
    <t>Yearly Cost</t>
  </si>
  <si>
    <t># per year (average 2008-2018)</t>
  </si>
  <si>
    <t>Yearly Total</t>
  </si>
  <si>
    <t>https://safety.fhwa.dot.gov/tools/crf/resources/fhwasa08011/page3.cfm#linktarget_t8</t>
  </si>
  <si>
    <t xml:space="preserve">Pave shoulder </t>
  </si>
  <si>
    <t>Lighting</t>
  </si>
  <si>
    <t>Two-way Left Turn</t>
  </si>
  <si>
    <t>Install Sidewalk</t>
  </si>
  <si>
    <t>CRF</t>
  </si>
  <si>
    <t>Accident Reduction / MV Pave Shoulder</t>
  </si>
  <si>
    <t># Accidents Reduced Total</t>
  </si>
  <si>
    <t>Accident Reduction / MV Lighting</t>
  </si>
  <si>
    <t>Accident Reduction / MV TWLT</t>
  </si>
  <si>
    <t>Accident Reduction / MV Sidewalk</t>
  </si>
  <si>
    <t>Percent chance of flooding</t>
  </si>
  <si>
    <t>Column C: # of households</t>
  </si>
  <si>
    <t>Column D: % chance of flooding per year</t>
  </si>
  <si>
    <t>Column E:  Damage from flooding</t>
  </si>
  <si>
    <t xml:space="preserve">Column F:  3% discount </t>
  </si>
  <si>
    <t>http://www.floodtools.com/Map.aspx</t>
  </si>
  <si>
    <t>Past 10 years</t>
  </si>
  <si>
    <t xml:space="preserve">26 claims per </t>
  </si>
  <si>
    <t>100 insured people</t>
  </si>
  <si>
    <t xml:space="preserve">Average claim: </t>
  </si>
  <si>
    <t>Value of reduced damaged costs</t>
  </si>
  <si>
    <t>Column C:  Volume of average daily traffic on Ross Fork Road through Shoshone Bannock Tribe, ID with a 1% per year growth rate</t>
  </si>
  <si>
    <t>Values at 3% Discount</t>
  </si>
  <si>
    <t>Values at 7% Discount</t>
  </si>
  <si>
    <t>1.015*tons= metric tons</t>
  </si>
  <si>
    <t xml:space="preserve">Column T: Metric tons of VOC saved using  1.034 grams/mile (nepis.epa.gov) </t>
  </si>
  <si>
    <t>Column U: Social cost of VOC using $1905 per metric ton (BCA guide)</t>
  </si>
  <si>
    <t xml:space="preserve">Column V: Metric tons of PM saved using  0.0044 grams/mile and 0.0041 grams/mile PM2.5 and PM10 (nepis.epa.gov) </t>
  </si>
  <si>
    <t>Column W: Social cost of PM using $343442 per metric ton (BCA guide)</t>
  </si>
  <si>
    <t xml:space="preserve">Column X: Metric tons of NOX saved using  0.693 grams/mile (nepis.epa.gov) </t>
  </si>
  <si>
    <t>Column Y: Social cost of NOX using $7508 per metric ton (BCA guide)</t>
  </si>
  <si>
    <t>Column I:  Crash reduction factor for paved shoulder</t>
  </si>
  <si>
    <t>Column J: Crash reduction factor for adding lighting to roadway</t>
  </si>
  <si>
    <t>Column K:  Crash reduction factor for adding TWLT Lane</t>
  </si>
  <si>
    <t>Column L:  Crash reduction factor for adding sidewalk</t>
  </si>
  <si>
    <t>Column M: Sum of CRF x MV/year</t>
  </si>
  <si>
    <t>Column H: ADT x 365 days/year /1,000,000</t>
  </si>
  <si>
    <t>Column N: Accidents reduced per year x cost of average accident in the area</t>
  </si>
  <si>
    <t>COST PER ACCIDENT IN AREA</t>
  </si>
  <si>
    <t>Value at 3% Discount</t>
  </si>
  <si>
    <t>Value at 7% Discount</t>
  </si>
  <si>
    <t xml:space="preserve">CRF: </t>
  </si>
  <si>
    <t>Column C:  Assume that of the systems 140,000 riders , one fifth of the users are in the district of the project area. Assume a 10% increase in users in project area.</t>
  </si>
  <si>
    <t>Column D: Assume each additional ridereliminates 4 passenger car miles</t>
  </si>
  <si>
    <t xml:space="preserve">Column E:  Increased ridership x passenger car miles eliminated per passenger </t>
  </si>
  <si>
    <t>Column F:  Assume 20 mpg passenger car</t>
  </si>
  <si>
    <t>Column G: Passenger car miles saved x $0.39 per mile operating cost (BCA Guidance)</t>
  </si>
  <si>
    <t>Column I: SCC values from  https://19january2017snapshot.epa.gov/climatechange/social-cost-carbon_.html</t>
  </si>
  <si>
    <t>Column J: SCC values converted from 2007$ to 2013$ (the most recent values available) using Consumer Price Index Values, see BAC Resource Guide page 11 of 21 (http://www.bls.gov/cpi/cpid1401.pdf   see Table 24)</t>
  </si>
  <si>
    <t>Column L: Metric tons of CO2 saved x 3% discount value of carbon</t>
  </si>
  <si>
    <t>Column M: Increase in ridership/1,000,000</t>
  </si>
  <si>
    <t>Column N: CRF for elimination of passenger cars</t>
  </si>
  <si>
    <t>Column O:  Accident reduction factor x MV/year</t>
  </si>
  <si>
    <t>Column P: # accidents reduced x cost of accident from "Safety" tab</t>
  </si>
  <si>
    <t>Column D: Assume continuation of $45,000 per year in maintenance</t>
  </si>
  <si>
    <t>Average Emission &amp; Fuel Consumption (EPA) Page 4</t>
  </si>
  <si>
    <t>Shoshone Bannock Tribe, ID - Benefits Related to Travel (Safety)</t>
  </si>
  <si>
    <t>Shoshone Bannock Tribe, ID - Benefits Related to Travel (Walking/Biking)</t>
  </si>
  <si>
    <t>Shoshone Bannock Tribe, ID - Benefits Related to New Development</t>
  </si>
  <si>
    <t>Shoshone Bannock Tribe, ID - Lifetime Maintenance Costs of Trails</t>
  </si>
  <si>
    <t>Shoshone Bannock Tribe, ID - Benefits Related to Transit Bus System</t>
  </si>
  <si>
    <t>Shoshone Bannock Tribe, ID - Transit Bus Maintenance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</si>
</sst>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"/>
    <numFmt numFmtId="167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left" readingOrder="1"/>
    </xf>
    <xf numFmtId="49" fontId="0" fillId="0" borderId="0" xfId="0" applyNumberFormat="1" applyAlignment="1">
      <alignment horizontal="center" readingOrder="1"/>
    </xf>
    <xf numFmtId="49" fontId="0" fillId="0" borderId="0" xfId="0" applyNumberFormat="1" applyAlignment="1">
      <alignment readingOrder="1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1"/>
    <xf numFmtId="0" fontId="1" fillId="2" borderId="6" xfId="0" applyFont="1" applyFill="1" applyBorder="1" applyAlignment="1">
      <alignment horizontal="center"/>
    </xf>
    <xf numFmtId="44" fontId="0" fillId="0" borderId="0" xfId="2" applyFont="1"/>
    <xf numFmtId="0" fontId="0" fillId="3" borderId="0" xfId="0" applyFill="1"/>
    <xf numFmtId="44" fontId="0" fillId="2" borderId="6" xfId="2" applyFont="1" applyFill="1" applyBorder="1" applyAlignment="1">
      <alignment horizontal="center"/>
    </xf>
    <xf numFmtId="44" fontId="1" fillId="2" borderId="6" xfId="2" applyFont="1" applyFill="1" applyBorder="1" applyAlignment="1">
      <alignment horizontal="center"/>
    </xf>
    <xf numFmtId="44" fontId="6" fillId="0" borderId="0" xfId="0" applyNumberFormat="1" applyFont="1"/>
    <xf numFmtId="0" fontId="6" fillId="0" borderId="0" xfId="0" applyFont="1" applyAlignment="1">
      <alignment wrapText="1"/>
    </xf>
    <xf numFmtId="44" fontId="0" fillId="0" borderId="0" xfId="0" applyNumberFormat="1"/>
    <xf numFmtId="49" fontId="0" fillId="0" borderId="0" xfId="0" applyNumberFormat="1" applyFill="1" applyAlignment="1">
      <alignment horizontal="left" readingOrder="1"/>
    </xf>
    <xf numFmtId="49" fontId="0" fillId="0" borderId="0" xfId="0" applyNumberFormat="1" applyFill="1" applyAlignment="1">
      <alignment readingOrder="1"/>
    </xf>
    <xf numFmtId="1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44" fontId="0" fillId="2" borderId="2" xfId="2" applyFont="1" applyFill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6" xfId="2" applyFont="1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44" fontId="1" fillId="2" borderId="1" xfId="2" applyFont="1" applyFill="1" applyBorder="1" applyAlignment="1">
      <alignment horizontal="center" vertical="center"/>
    </xf>
    <xf numFmtId="0" fontId="4" fillId="0" borderId="0" xfId="1" applyAlignment="1">
      <alignment horizontal="left"/>
    </xf>
    <xf numFmtId="165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2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4" fillId="0" borderId="0" xfId="1" applyNumberFormat="1"/>
    <xf numFmtId="165" fontId="0" fillId="0" borderId="2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9" fontId="0" fillId="2" borderId="2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6" fontId="0" fillId="0" borderId="8" xfId="0" applyNumberForma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165" fontId="0" fillId="0" borderId="8" xfId="0" applyNumberFormat="1" applyBorder="1"/>
    <xf numFmtId="0" fontId="0" fillId="0" borderId="8" xfId="0" applyFont="1" applyBorder="1" applyAlignment="1">
      <alignment horizontal="center" vertical="center"/>
    </xf>
    <xf numFmtId="164" fontId="0" fillId="2" borderId="6" xfId="0" applyNumberFormat="1" applyFill="1" applyBorder="1" applyAlignment="1">
      <alignment vertical="center"/>
    </xf>
    <xf numFmtId="9" fontId="0" fillId="0" borderId="8" xfId="3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pis.epa.gov/Exe/ZyNET.exe/P100EVXP.txt?ZyActionD=ZyDocument&amp;Client=EPA&amp;Index=2006%20Thru%202010&amp;Docs=&amp;Query=&amp;Time=&amp;EndTime=&amp;SearchMethod=1&amp;TocRestrict=n&amp;Toc=&amp;TocEntry=&amp;QField=&amp;QFieldYear=&amp;QFieldMonth=&amp;QFieldDay=&amp;UseQField=&amp;IntQFieldOp=0&amp;ExtQFie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loodtools.com/Map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epis.epa.gov/Exe/ZyNET.exe/P100EVXP.txt?ZyActionD=ZyDocument&amp;Client=EPA&amp;Index=2006%20Thru%202010&amp;Docs=&amp;Query=&amp;Time=&amp;EndTime=&amp;SearchMethod=1&amp;TocRestrict=n&amp;Toc=&amp;TocEntry=&amp;QField=&amp;QFieldYear=&amp;QFieldMonth=&amp;QFieldDay=&amp;UseQField=&amp;IntQFieldOp=0&amp;ExtQFiel" TargetMode="External"/><Relationship Id="rId1" Type="http://schemas.openxmlformats.org/officeDocument/2006/relationships/hyperlink" Target="https://safety.fhwa.dot.gov/tools/crf/resources/fhwasa08011/page3.cf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afety.fhwa.dot.gov/ped_bike/tools_solve/walkways_trifold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atausa.io/profile/geo/fort-hall-id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ceee.org/partnerships-reduce-energy-use-public-outdoor" TargetMode="External"/><Relationship Id="rId1" Type="http://schemas.openxmlformats.org/officeDocument/2006/relationships/hyperlink" Target="http://www.lrc.rpi.edu/programs/NLPIP/PDF/VIEW/SR_StreetlightsLocal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"/>
  <sheetViews>
    <sheetView tabSelected="1" zoomScale="70" zoomScaleNormal="70" workbookViewId="0">
      <pane ySplit="3" topLeftCell="A4" activePane="bottomLeft" state="frozen"/>
      <selection pane="bottomLeft" activeCell="J35" sqref="J35"/>
    </sheetView>
  </sheetViews>
  <sheetFormatPr defaultRowHeight="15" x14ac:dyDescent="0.25"/>
  <cols>
    <col min="2" max="2" width="16.140625" style="1" bestFit="1" customWidth="1"/>
    <col min="3" max="3" width="16.140625" bestFit="1" customWidth="1"/>
    <col min="4" max="4" width="15" bestFit="1" customWidth="1"/>
    <col min="5" max="5" width="13.85546875" bestFit="1" customWidth="1"/>
    <col min="6" max="8" width="13.28515625" bestFit="1" customWidth="1"/>
    <col min="9" max="11" width="16.140625" bestFit="1" customWidth="1"/>
    <col min="12" max="12" width="15.42578125" customWidth="1"/>
    <col min="13" max="13" width="14.5703125" customWidth="1"/>
    <col min="14" max="14" width="13.28515625" bestFit="1" customWidth="1"/>
    <col min="15" max="15" width="15" customWidth="1"/>
    <col min="16" max="16" width="14" customWidth="1"/>
    <col min="17" max="19" width="12.5703125" customWidth="1"/>
    <col min="20" max="20" width="12.5703125" style="1" customWidth="1"/>
    <col min="21" max="21" width="13.85546875" style="1" customWidth="1"/>
    <col min="22" max="23" width="12.5703125" customWidth="1"/>
    <col min="24" max="24" width="10" bestFit="1" customWidth="1"/>
    <col min="25" max="25" width="13.28515625" bestFit="1" customWidth="1"/>
    <col min="27" max="27" width="13.28515625" bestFit="1" customWidth="1"/>
    <col min="29" max="29" width="13.28515625" bestFit="1" customWidth="1"/>
  </cols>
  <sheetData>
    <row r="1" spans="1:25" ht="15.75" x14ac:dyDescent="0.25">
      <c r="A1" s="105" t="s">
        <v>84</v>
      </c>
    </row>
    <row r="3" spans="1:25" s="2" customFormat="1" ht="60" x14ac:dyDescent="0.25">
      <c r="A3" s="92" t="s">
        <v>44</v>
      </c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148</v>
      </c>
      <c r="H3" s="92" t="s">
        <v>5</v>
      </c>
      <c r="I3" s="92" t="s">
        <v>99</v>
      </c>
      <c r="J3" s="92" t="s">
        <v>100</v>
      </c>
      <c r="K3" s="92" t="s">
        <v>7</v>
      </c>
      <c r="L3" s="92" t="s">
        <v>41</v>
      </c>
      <c r="M3" s="92" t="s">
        <v>113</v>
      </c>
      <c r="N3" s="92" t="s">
        <v>40</v>
      </c>
      <c r="O3" s="92" t="s">
        <v>126</v>
      </c>
      <c r="P3" s="92" t="s">
        <v>9</v>
      </c>
      <c r="Q3" s="92" t="s">
        <v>10</v>
      </c>
      <c r="R3" s="92" t="s">
        <v>11</v>
      </c>
      <c r="S3" s="92" t="s">
        <v>12</v>
      </c>
      <c r="T3" s="92" t="s">
        <v>105</v>
      </c>
      <c r="U3" s="92" t="s">
        <v>119</v>
      </c>
      <c r="V3" s="92" t="s">
        <v>111</v>
      </c>
      <c r="W3" s="92" t="s">
        <v>120</v>
      </c>
      <c r="X3" s="92" t="s">
        <v>106</v>
      </c>
      <c r="Y3" s="92" t="s">
        <v>121</v>
      </c>
    </row>
    <row r="4" spans="1:25" s="1" customFormat="1" x14ac:dyDescent="0.25">
      <c r="A4" s="66">
        <v>0</v>
      </c>
      <c r="B4" s="66">
        <v>2018</v>
      </c>
      <c r="C4" s="43">
        <v>4800</v>
      </c>
      <c r="D4" s="44">
        <v>1014</v>
      </c>
      <c r="E4" s="45"/>
      <c r="F4" s="44"/>
      <c r="G4" s="44"/>
      <c r="H4" s="44"/>
      <c r="I4" s="67"/>
      <c r="J4" s="68"/>
      <c r="K4" s="43"/>
      <c r="L4" s="68"/>
      <c r="M4" s="68"/>
      <c r="N4" s="68"/>
      <c r="O4" s="67"/>
      <c r="P4" s="43"/>
      <c r="Q4" s="43"/>
      <c r="R4" s="70"/>
      <c r="S4" s="70"/>
      <c r="T4" s="46"/>
      <c r="U4" s="68"/>
      <c r="V4" s="46"/>
      <c r="W4" s="68"/>
      <c r="X4" s="46"/>
      <c r="Y4" s="68"/>
    </row>
    <row r="5" spans="1:25" x14ac:dyDescent="0.25">
      <c r="A5" s="53">
        <v>0</v>
      </c>
      <c r="B5" s="53">
        <v>2019</v>
      </c>
      <c r="C5" s="47">
        <f t="shared" ref="C5:C6" si="0">$C$4*(1.01)^(B5-$B$4)</f>
        <v>4848</v>
      </c>
      <c r="D5" s="48">
        <f t="shared" ref="D5:D6" si="1">$D$4*1.01^(B5-$B$4)</f>
        <v>1024.1400000000001</v>
      </c>
      <c r="E5" s="49"/>
      <c r="F5" s="48"/>
      <c r="G5" s="48"/>
      <c r="H5" s="48"/>
      <c r="I5" s="48"/>
      <c r="J5" s="65"/>
      <c r="K5" s="47"/>
      <c r="L5" s="65"/>
      <c r="M5" s="65"/>
      <c r="N5" s="65"/>
      <c r="O5" s="64"/>
      <c r="P5" s="47"/>
      <c r="Q5" s="47"/>
      <c r="R5" s="71"/>
      <c r="S5" s="71"/>
      <c r="T5" s="50"/>
      <c r="U5" s="65"/>
      <c r="V5" s="50"/>
      <c r="W5" s="65"/>
      <c r="X5" s="50"/>
      <c r="Y5" s="65"/>
    </row>
    <row r="6" spans="1:25" x14ac:dyDescent="0.25">
      <c r="A6" s="66">
        <v>0</v>
      </c>
      <c r="B6" s="66">
        <v>2020</v>
      </c>
      <c r="C6" s="43">
        <f t="shared" si="0"/>
        <v>4896.4800000000005</v>
      </c>
      <c r="D6" s="44">
        <f t="shared" si="1"/>
        <v>1034.3814</v>
      </c>
      <c r="E6" s="45"/>
      <c r="F6" s="44"/>
      <c r="G6" s="44"/>
      <c r="H6" s="44"/>
      <c r="I6" s="44"/>
      <c r="J6" s="68"/>
      <c r="K6" s="43"/>
      <c r="L6" s="68"/>
      <c r="M6" s="68"/>
      <c r="N6" s="68"/>
      <c r="O6" s="67"/>
      <c r="P6" s="43"/>
      <c r="Q6" s="43"/>
      <c r="R6" s="70"/>
      <c r="S6" s="70"/>
      <c r="T6" s="46"/>
      <c r="U6" s="68"/>
      <c r="V6" s="46"/>
      <c r="W6" s="68"/>
      <c r="X6" s="46"/>
      <c r="Y6" s="68"/>
    </row>
    <row r="7" spans="1:25" x14ac:dyDescent="0.25">
      <c r="A7" s="53">
        <v>1</v>
      </c>
      <c r="B7" s="53">
        <v>2021</v>
      </c>
      <c r="C7" s="47">
        <f t="shared" ref="C7:C26" si="2">$C$4*(1.01)^(B7-$B$4)</f>
        <v>4945.4447999999993</v>
      </c>
      <c r="D7" s="48">
        <f t="shared" ref="D7:D25" si="3">$D$4*1.01^(B7-$B$4)</f>
        <v>1044.7252139999998</v>
      </c>
      <c r="E7" s="49">
        <v>8.6</v>
      </c>
      <c r="F7" s="48">
        <f t="shared" ref="F7:F25" si="4">D7*E7</f>
        <v>8984.6368403999986</v>
      </c>
      <c r="G7" s="48">
        <f>E7*D7*365</f>
        <v>3279392.4467459996</v>
      </c>
      <c r="H7" s="48">
        <f t="shared" ref="H7:H25" si="5">G7/20</f>
        <v>163969.62233729998</v>
      </c>
      <c r="I7" s="51">
        <f t="shared" ref="I7:I26" si="6">G7*0.39</f>
        <v>1278963.0542309398</v>
      </c>
      <c r="J7" s="65">
        <f t="shared" ref="J7:J26" si="7">I7/D7</f>
        <v>1224.21</v>
      </c>
      <c r="K7" s="61">
        <f t="shared" ref="K7:K26" si="8">D7*1.13</f>
        <v>1180.5394918199997</v>
      </c>
      <c r="L7" s="65">
        <v>42</v>
      </c>
      <c r="M7" s="65">
        <f t="shared" ref="M7:M26" si="9">L7*(242.839/207.342)</f>
        <v>49.190410047168442</v>
      </c>
      <c r="N7" s="65">
        <f t="shared" ref="N7:N26" si="10">M7/(1.03^A7)</f>
        <v>47.757679657445088</v>
      </c>
      <c r="O7" s="64">
        <f t="shared" ref="O7:O26" si="11">K7*N7</f>
        <v>56379.826873302562</v>
      </c>
      <c r="P7" s="48">
        <f>F7/60*2</f>
        <v>299.48789467999995</v>
      </c>
      <c r="Q7" s="47">
        <f>P7*365</f>
        <v>109313.08155819998</v>
      </c>
      <c r="R7" s="64">
        <f t="shared" ref="R7:S16" si="12">P7*14.8</f>
        <v>4432.4208412639991</v>
      </c>
      <c r="S7" s="64">
        <f t="shared" si="12"/>
        <v>1617833.6070613598</v>
      </c>
      <c r="T7" s="50">
        <f t="shared" ref="T7:T26" si="13">G7*1.034/1000000</f>
        <v>3.3908917899353641</v>
      </c>
      <c r="U7" s="51">
        <f t="shared" ref="U7:U26" si="14">T7*1.1015*1905</f>
        <v>7115.3032190992953</v>
      </c>
      <c r="V7" s="50">
        <f t="shared" ref="V7:V26" si="15">G7*(0.0044+0.0041)/1000000</f>
        <v>2.7874835797340999E-2</v>
      </c>
      <c r="W7" s="51">
        <f t="shared" ref="W7:W26" si="16">V7*1.1015*343442</f>
        <v>10545.088375535292</v>
      </c>
      <c r="X7" s="50">
        <f t="shared" ref="X7:X26" si="17">G7*(0.693)/1000000</f>
        <v>2.2726189655949778</v>
      </c>
      <c r="Y7" s="51">
        <f t="shared" ref="Y7:Y26" si="18">X7*1.1015*7508</f>
        <v>18794.699747846331</v>
      </c>
    </row>
    <row r="8" spans="1:25" s="35" customFormat="1" x14ac:dyDescent="0.25">
      <c r="A8" s="93">
        <v>2</v>
      </c>
      <c r="B8" s="66">
        <v>2022</v>
      </c>
      <c r="C8" s="43">
        <f t="shared" si="2"/>
        <v>4994.8992479999997</v>
      </c>
      <c r="D8" s="44">
        <f t="shared" si="3"/>
        <v>1055.1724661400001</v>
      </c>
      <c r="E8" s="45">
        <v>8.6</v>
      </c>
      <c r="F8" s="44">
        <f t="shared" si="4"/>
        <v>9074.4832088040002</v>
      </c>
      <c r="G8" s="44">
        <f>E8*D8*366</f>
        <v>3321260.8544222643</v>
      </c>
      <c r="H8" s="44">
        <f t="shared" si="5"/>
        <v>166063.04272111322</v>
      </c>
      <c r="I8" s="52">
        <f t="shared" si="6"/>
        <v>1295291.7332246832</v>
      </c>
      <c r="J8" s="68">
        <f t="shared" si="7"/>
        <v>1227.5640000000001</v>
      </c>
      <c r="K8" s="72">
        <f t="shared" si="8"/>
        <v>1192.3448867382001</v>
      </c>
      <c r="L8" s="68">
        <v>42</v>
      </c>
      <c r="M8" s="68">
        <f t="shared" si="9"/>
        <v>49.190410047168442</v>
      </c>
      <c r="N8" s="68">
        <f t="shared" si="10"/>
        <v>46.366679279072905</v>
      </c>
      <c r="O8" s="67">
        <f t="shared" si="11"/>
        <v>55285.072953432631</v>
      </c>
      <c r="P8" s="44">
        <f>F8/60*2</f>
        <v>302.4827736268</v>
      </c>
      <c r="Q8" s="43">
        <f t="shared" ref="Q8:Q24" si="19">P8*365</f>
        <v>110406.21237378199</v>
      </c>
      <c r="R8" s="67">
        <f t="shared" si="12"/>
        <v>4476.7450496766405</v>
      </c>
      <c r="S8" s="67">
        <f t="shared" si="12"/>
        <v>1634011.9431319735</v>
      </c>
      <c r="T8" s="46">
        <f t="shared" si="13"/>
        <v>3.4341837234726214</v>
      </c>
      <c r="U8" s="52">
        <f t="shared" si="14"/>
        <v>7206.1451725267007</v>
      </c>
      <c r="V8" s="46">
        <f t="shared" si="15"/>
        <v>2.8230717262589248E-2</v>
      </c>
      <c r="W8" s="52">
        <f t="shared" si="16"/>
        <v>10679.718818905141</v>
      </c>
      <c r="X8" s="46">
        <f t="shared" si="17"/>
        <v>2.3016337721146289</v>
      </c>
      <c r="Y8" s="52">
        <f t="shared" si="18"/>
        <v>19034.653996681849</v>
      </c>
    </row>
    <row r="9" spans="1:25" x14ac:dyDescent="0.25">
      <c r="A9" s="53">
        <v>3</v>
      </c>
      <c r="B9" s="53">
        <v>2023</v>
      </c>
      <c r="C9" s="47">
        <f t="shared" si="2"/>
        <v>5044.8482404799997</v>
      </c>
      <c r="D9" s="48">
        <f t="shared" si="3"/>
        <v>1065.7241908014</v>
      </c>
      <c r="E9" s="49">
        <v>8.6</v>
      </c>
      <c r="F9" s="48">
        <f t="shared" si="4"/>
        <v>9165.2280408920396</v>
      </c>
      <c r="G9" s="48">
        <f>E9*D9*365</f>
        <v>3345308.2349255946</v>
      </c>
      <c r="H9" s="48">
        <f t="shared" si="5"/>
        <v>167265.41174627974</v>
      </c>
      <c r="I9" s="51">
        <f t="shared" si="6"/>
        <v>1304670.211620982</v>
      </c>
      <c r="J9" s="65">
        <f t="shared" si="7"/>
        <v>1224.21</v>
      </c>
      <c r="K9" s="61">
        <f t="shared" si="8"/>
        <v>1204.268335605582</v>
      </c>
      <c r="L9" s="65">
        <v>46</v>
      </c>
      <c r="M9" s="65">
        <f t="shared" si="9"/>
        <v>53.875211004041631</v>
      </c>
      <c r="N9" s="65">
        <f t="shared" si="10"/>
        <v>49.303449996240261</v>
      </c>
      <c r="O9" s="64">
        <f t="shared" si="11"/>
        <v>59374.583666585298</v>
      </c>
      <c r="P9" s="48">
        <f t="shared" ref="P9:P26" si="20">F9/60*2</f>
        <v>305.50760136306798</v>
      </c>
      <c r="Q9" s="47">
        <f>P9*365</f>
        <v>111510.27449751981</v>
      </c>
      <c r="R9" s="64">
        <f t="shared" si="12"/>
        <v>4521.5125001734059</v>
      </c>
      <c r="S9" s="64">
        <f t="shared" si="12"/>
        <v>1650352.0625632934</v>
      </c>
      <c r="T9" s="50">
        <f t="shared" si="13"/>
        <v>3.4590487149130649</v>
      </c>
      <c r="U9" s="51">
        <f t="shared" si="14"/>
        <v>7258.3208138031905</v>
      </c>
      <c r="V9" s="50">
        <f t="shared" si="15"/>
        <v>2.8435119996867559E-2</v>
      </c>
      <c r="W9" s="51">
        <f t="shared" si="16"/>
        <v>10757.044651883552</v>
      </c>
      <c r="X9" s="50">
        <f t="shared" si="17"/>
        <v>2.3182986068034368</v>
      </c>
      <c r="Y9" s="51">
        <f t="shared" si="18"/>
        <v>19172.473212778044</v>
      </c>
    </row>
    <row r="10" spans="1:25" x14ac:dyDescent="0.25">
      <c r="A10" s="66">
        <v>4</v>
      </c>
      <c r="B10" s="66">
        <v>2024</v>
      </c>
      <c r="C10" s="43">
        <f t="shared" si="2"/>
        <v>5095.2967228848011</v>
      </c>
      <c r="D10" s="44">
        <f t="shared" si="3"/>
        <v>1076.3814327094142</v>
      </c>
      <c r="E10" s="45">
        <v>8.6</v>
      </c>
      <c r="F10" s="44">
        <f t="shared" si="4"/>
        <v>9256.8803213009614</v>
      </c>
      <c r="G10" s="44">
        <f>E10*D10*365</f>
        <v>3378761.3172748508</v>
      </c>
      <c r="H10" s="44">
        <f t="shared" si="5"/>
        <v>168938.06586374255</v>
      </c>
      <c r="I10" s="52">
        <f t="shared" si="6"/>
        <v>1317716.9137371918</v>
      </c>
      <c r="J10" s="68">
        <f t="shared" si="7"/>
        <v>1224.2099999999998</v>
      </c>
      <c r="K10" s="72">
        <f t="shared" si="8"/>
        <v>1216.311018961638</v>
      </c>
      <c r="L10" s="68">
        <v>46</v>
      </c>
      <c r="M10" s="68">
        <f t="shared" si="9"/>
        <v>53.875211004041631</v>
      </c>
      <c r="N10" s="68">
        <f t="shared" si="10"/>
        <v>47.867427180815788</v>
      </c>
      <c r="O10" s="67">
        <f t="shared" si="11"/>
        <v>58221.679129370059</v>
      </c>
      <c r="P10" s="44">
        <f t="shared" si="20"/>
        <v>308.56267737669873</v>
      </c>
      <c r="Q10" s="43">
        <f>P10*366</f>
        <v>112933.93991987173</v>
      </c>
      <c r="R10" s="67">
        <f t="shared" si="12"/>
        <v>4566.7276251751418</v>
      </c>
      <c r="S10" s="67">
        <f t="shared" si="12"/>
        <v>1671422.3108141017</v>
      </c>
      <c r="T10" s="46">
        <f t="shared" si="13"/>
        <v>3.4936392020621958</v>
      </c>
      <c r="U10" s="52">
        <f t="shared" si="14"/>
        <v>7330.9040219412236</v>
      </c>
      <c r="V10" s="46">
        <f t="shared" si="15"/>
        <v>2.8719471196836235E-2</v>
      </c>
      <c r="W10" s="52">
        <f t="shared" si="16"/>
        <v>10864.615098402388</v>
      </c>
      <c r="X10" s="46">
        <f t="shared" si="17"/>
        <v>2.3414815928714714</v>
      </c>
      <c r="Y10" s="52">
        <f t="shared" si="18"/>
        <v>19364.197944905824</v>
      </c>
    </row>
    <row r="11" spans="1:25" x14ac:dyDescent="0.25">
      <c r="A11" s="53">
        <v>5</v>
      </c>
      <c r="B11" s="53">
        <v>2025</v>
      </c>
      <c r="C11" s="47">
        <f t="shared" si="2"/>
        <v>5146.2496901136474</v>
      </c>
      <c r="D11" s="48">
        <f t="shared" si="3"/>
        <v>1087.145247036508</v>
      </c>
      <c r="E11" s="49">
        <v>8.6</v>
      </c>
      <c r="F11" s="48">
        <f t="shared" si="4"/>
        <v>9349.4491245139689</v>
      </c>
      <c r="G11" s="48">
        <f>E11*D11*365</f>
        <v>3412548.9304475985</v>
      </c>
      <c r="H11" s="48">
        <f t="shared" si="5"/>
        <v>170627.44652237993</v>
      </c>
      <c r="I11" s="51">
        <f t="shared" si="6"/>
        <v>1330894.0828745635</v>
      </c>
      <c r="J11" s="65">
        <f t="shared" si="7"/>
        <v>1224.21</v>
      </c>
      <c r="K11" s="61">
        <f t="shared" si="8"/>
        <v>1228.4741291512539</v>
      </c>
      <c r="L11" s="65">
        <v>46</v>
      </c>
      <c r="M11" s="65">
        <f t="shared" si="9"/>
        <v>53.875211004041631</v>
      </c>
      <c r="N11" s="65">
        <f t="shared" si="10"/>
        <v>46.473230272636691</v>
      </c>
      <c r="O11" s="64">
        <f t="shared" si="11"/>
        <v>57091.161088023051</v>
      </c>
      <c r="P11" s="48">
        <f t="shared" si="20"/>
        <v>311.64830415046561</v>
      </c>
      <c r="Q11" s="47">
        <f t="shared" si="19"/>
        <v>113751.63101491994</v>
      </c>
      <c r="R11" s="64">
        <f t="shared" si="12"/>
        <v>4612.394901426891</v>
      </c>
      <c r="S11" s="64">
        <f t="shared" si="12"/>
        <v>1683524.1390208153</v>
      </c>
      <c r="T11" s="50">
        <f t="shared" si="13"/>
        <v>3.5285755940828172</v>
      </c>
      <c r="U11" s="51">
        <f t="shared" si="14"/>
        <v>7404.2130621606339</v>
      </c>
      <c r="V11" s="50">
        <f t="shared" si="15"/>
        <v>2.9006665908804588E-2</v>
      </c>
      <c r="W11" s="51">
        <f t="shared" si="16"/>
        <v>10973.261249386409</v>
      </c>
      <c r="X11" s="50">
        <f t="shared" si="17"/>
        <v>2.3648964088001856</v>
      </c>
      <c r="Y11" s="51">
        <f t="shared" si="18"/>
        <v>19557.839924354877</v>
      </c>
    </row>
    <row r="12" spans="1:25" x14ac:dyDescent="0.25">
      <c r="A12" s="66">
        <v>6</v>
      </c>
      <c r="B12" s="66">
        <v>2026</v>
      </c>
      <c r="C12" s="43">
        <f t="shared" si="2"/>
        <v>5197.7121870147848</v>
      </c>
      <c r="D12" s="44">
        <f t="shared" si="3"/>
        <v>1098.0166995068735</v>
      </c>
      <c r="E12" s="45">
        <v>8.6</v>
      </c>
      <c r="F12" s="44">
        <f t="shared" si="4"/>
        <v>9442.9436157591117</v>
      </c>
      <c r="G12" s="44">
        <f>E12*D12*366</f>
        <v>3456117.3633678351</v>
      </c>
      <c r="H12" s="44">
        <f t="shared" si="5"/>
        <v>172805.86816839175</v>
      </c>
      <c r="I12" s="52">
        <f t="shared" si="6"/>
        <v>1347885.7717134557</v>
      </c>
      <c r="J12" s="68">
        <f t="shared" si="7"/>
        <v>1227.5640000000001</v>
      </c>
      <c r="K12" s="72">
        <f t="shared" si="8"/>
        <v>1240.7588704427669</v>
      </c>
      <c r="L12" s="68">
        <v>46</v>
      </c>
      <c r="M12" s="68">
        <f t="shared" si="9"/>
        <v>53.875211004041631</v>
      </c>
      <c r="N12" s="68">
        <f t="shared" si="10"/>
        <v>45.119641041394843</v>
      </c>
      <c r="O12" s="67">
        <f t="shared" si="11"/>
        <v>55982.594853304174</v>
      </c>
      <c r="P12" s="44">
        <f t="shared" si="20"/>
        <v>314.76478719197041</v>
      </c>
      <c r="Q12" s="43">
        <f t="shared" si="19"/>
        <v>114889.14732506921</v>
      </c>
      <c r="R12" s="67">
        <f t="shared" si="12"/>
        <v>4658.5188504411626</v>
      </c>
      <c r="S12" s="67">
        <f t="shared" si="12"/>
        <v>1700359.3804110244</v>
      </c>
      <c r="T12" s="46">
        <f t="shared" si="13"/>
        <v>3.5736253537223415</v>
      </c>
      <c r="U12" s="52">
        <f t="shared" si="14"/>
        <v>7498.743563173427</v>
      </c>
      <c r="V12" s="46">
        <f t="shared" si="15"/>
        <v>2.9376997588626601E-2</v>
      </c>
      <c r="W12" s="52">
        <f t="shared" si="16"/>
        <v>11113.358228625157</v>
      </c>
      <c r="X12" s="46">
        <f t="shared" si="17"/>
        <v>2.3950893328139098</v>
      </c>
      <c r="Y12" s="52">
        <f t="shared" si="18"/>
        <v>19807.537277909665</v>
      </c>
    </row>
    <row r="13" spans="1:25" x14ac:dyDescent="0.25">
      <c r="A13" s="53">
        <v>7</v>
      </c>
      <c r="B13" s="53">
        <v>2027</v>
      </c>
      <c r="C13" s="47">
        <f t="shared" si="2"/>
        <v>5249.6893088849338</v>
      </c>
      <c r="D13" s="48">
        <f t="shared" si="3"/>
        <v>1108.9968665019421</v>
      </c>
      <c r="E13" s="49">
        <v>8.6</v>
      </c>
      <c r="F13" s="48">
        <f>D13*E13</f>
        <v>9537.373051916702</v>
      </c>
      <c r="G13" s="48">
        <f>E13*D13*365</f>
        <v>3481141.1639495962</v>
      </c>
      <c r="H13" s="48">
        <f t="shared" si="5"/>
        <v>174057.05819747981</v>
      </c>
      <c r="I13" s="51">
        <f t="shared" si="6"/>
        <v>1357645.0539403425</v>
      </c>
      <c r="J13" s="65">
        <f t="shared" si="7"/>
        <v>1224.21</v>
      </c>
      <c r="K13" s="61">
        <f t="shared" si="8"/>
        <v>1253.1664591471945</v>
      </c>
      <c r="L13" s="65">
        <v>46</v>
      </c>
      <c r="M13" s="65">
        <f t="shared" si="9"/>
        <v>53.875211004041631</v>
      </c>
      <c r="N13" s="65">
        <f t="shared" si="10"/>
        <v>43.805476739218292</v>
      </c>
      <c r="O13" s="64">
        <f t="shared" si="11"/>
        <v>54895.55417654098</v>
      </c>
      <c r="P13" s="48">
        <f t="shared" si="20"/>
        <v>317.91243506389009</v>
      </c>
      <c r="Q13" s="47">
        <f>P13*365</f>
        <v>116038.03879831987</v>
      </c>
      <c r="R13" s="64">
        <f t="shared" si="12"/>
        <v>4705.1040389455738</v>
      </c>
      <c r="S13" s="64">
        <f t="shared" si="12"/>
        <v>1717362.9742151343</v>
      </c>
      <c r="T13" s="50">
        <f t="shared" si="13"/>
        <v>3.5994999635238822</v>
      </c>
      <c r="U13" s="51">
        <f t="shared" si="14"/>
        <v>7553.0377447100645</v>
      </c>
      <c r="V13" s="50">
        <f t="shared" si="15"/>
        <v>2.9589699893571571E-2</v>
      </c>
      <c r="W13" s="51">
        <f t="shared" si="16"/>
        <v>11193.823800499078</v>
      </c>
      <c r="X13" s="50">
        <f t="shared" si="17"/>
        <v>2.41243082661707</v>
      </c>
      <c r="Y13" s="51">
        <f t="shared" si="18"/>
        <v>19950.952506834419</v>
      </c>
    </row>
    <row r="14" spans="1:25" x14ac:dyDescent="0.25">
      <c r="A14" s="66">
        <v>8</v>
      </c>
      <c r="B14" s="66">
        <v>2028</v>
      </c>
      <c r="C14" s="43">
        <f t="shared" si="2"/>
        <v>5302.1862019737828</v>
      </c>
      <c r="D14" s="44">
        <f t="shared" si="3"/>
        <v>1120.0868351669617</v>
      </c>
      <c r="E14" s="45">
        <v>8.6</v>
      </c>
      <c r="F14" s="44">
        <f t="shared" si="4"/>
        <v>9632.74678243587</v>
      </c>
      <c r="G14" s="44">
        <f>E14*D14*365</f>
        <v>3515952.5755890924</v>
      </c>
      <c r="H14" s="44">
        <f t="shared" si="5"/>
        <v>175797.62877945462</v>
      </c>
      <c r="I14" s="52">
        <f t="shared" si="6"/>
        <v>1371221.5044797461</v>
      </c>
      <c r="J14" s="68">
        <f t="shared" si="7"/>
        <v>1224.21</v>
      </c>
      <c r="K14" s="72">
        <f t="shared" si="8"/>
        <v>1265.6981237386665</v>
      </c>
      <c r="L14" s="68">
        <v>50</v>
      </c>
      <c r="M14" s="68">
        <f t="shared" si="9"/>
        <v>58.560011960914814</v>
      </c>
      <c r="N14" s="68">
        <f t="shared" si="10"/>
        <v>46.227814203480683</v>
      </c>
      <c r="O14" s="67">
        <f t="shared" si="11"/>
        <v>58510.457701885178</v>
      </c>
      <c r="P14" s="44">
        <f t="shared" si="20"/>
        <v>321.091559414529</v>
      </c>
      <c r="Q14" s="43">
        <f>P14*366</f>
        <v>117519.51074571762</v>
      </c>
      <c r="R14" s="67">
        <f t="shared" si="12"/>
        <v>4752.1550793350298</v>
      </c>
      <c r="S14" s="67">
        <f t="shared" si="12"/>
        <v>1739288.7590366208</v>
      </c>
      <c r="T14" s="46">
        <f t="shared" si="13"/>
        <v>3.6354949631591218</v>
      </c>
      <c r="U14" s="52">
        <f t="shared" si="14"/>
        <v>7628.5681221571667</v>
      </c>
      <c r="V14" s="46">
        <f t="shared" si="15"/>
        <v>2.9885596892507287E-2</v>
      </c>
      <c r="W14" s="52">
        <f t="shared" si="16"/>
        <v>11305.762038504072</v>
      </c>
      <c r="X14" s="46">
        <f t="shared" si="17"/>
        <v>2.4365551348832408</v>
      </c>
      <c r="Y14" s="52">
        <f t="shared" si="18"/>
        <v>20150.462031902764</v>
      </c>
    </row>
    <row r="15" spans="1:25" x14ac:dyDescent="0.25">
      <c r="A15" s="53">
        <v>9</v>
      </c>
      <c r="B15" s="53">
        <v>2029</v>
      </c>
      <c r="C15" s="47">
        <f t="shared" si="2"/>
        <v>5355.2080639935193</v>
      </c>
      <c r="D15" s="48">
        <f t="shared" si="3"/>
        <v>1131.2877035186309</v>
      </c>
      <c r="E15" s="49">
        <v>8.6</v>
      </c>
      <c r="F15" s="48">
        <f t="shared" si="4"/>
        <v>9729.0742502602261</v>
      </c>
      <c r="G15" s="48">
        <f>E15*D15*365</f>
        <v>3551112.1013449826</v>
      </c>
      <c r="H15" s="48">
        <f t="shared" si="5"/>
        <v>177555.60506724913</v>
      </c>
      <c r="I15" s="51">
        <f t="shared" si="6"/>
        <v>1384933.7195245433</v>
      </c>
      <c r="J15" s="65">
        <f t="shared" si="7"/>
        <v>1224.21</v>
      </c>
      <c r="K15" s="61">
        <f t="shared" si="8"/>
        <v>1278.3551049760529</v>
      </c>
      <c r="L15" s="65">
        <v>50</v>
      </c>
      <c r="M15" s="65">
        <f t="shared" si="9"/>
        <v>58.560011960914814</v>
      </c>
      <c r="N15" s="65">
        <f t="shared" si="10"/>
        <v>44.881373013088044</v>
      </c>
      <c r="O15" s="64">
        <f t="shared" si="11"/>
        <v>57374.332309615551</v>
      </c>
      <c r="P15" s="48">
        <f t="shared" si="20"/>
        <v>324.30247500867421</v>
      </c>
      <c r="Q15" s="47">
        <f t="shared" si="19"/>
        <v>118370.40337816608</v>
      </c>
      <c r="R15" s="64">
        <f t="shared" si="12"/>
        <v>4799.6766301283787</v>
      </c>
      <c r="S15" s="64">
        <f>Q15*14.8</f>
        <v>1751881.9699968582</v>
      </c>
      <c r="T15" s="50">
        <f t="shared" si="13"/>
        <v>3.6718499127907118</v>
      </c>
      <c r="U15" s="51">
        <f t="shared" si="14"/>
        <v>7704.8538033787354</v>
      </c>
      <c r="V15" s="50">
        <f t="shared" si="15"/>
        <v>3.0184452861432353E-2</v>
      </c>
      <c r="W15" s="51">
        <f t="shared" si="16"/>
        <v>11418.819658889108</v>
      </c>
      <c r="X15" s="50">
        <f t="shared" si="17"/>
        <v>2.4609206862320727</v>
      </c>
      <c r="Y15" s="51">
        <f t="shared" si="18"/>
        <v>20351.966652221785</v>
      </c>
    </row>
    <row r="16" spans="1:25" x14ac:dyDescent="0.25">
      <c r="A16" s="66">
        <v>10</v>
      </c>
      <c r="B16" s="66">
        <v>2030</v>
      </c>
      <c r="C16" s="43">
        <f t="shared" si="2"/>
        <v>5408.7601446334547</v>
      </c>
      <c r="D16" s="44">
        <f t="shared" si="3"/>
        <v>1142.6005805538173</v>
      </c>
      <c r="E16" s="45">
        <v>8.6</v>
      </c>
      <c r="F16" s="44">
        <f t="shared" si="4"/>
        <v>9826.3649927628285</v>
      </c>
      <c r="G16" s="44">
        <f>E16*D16*366</f>
        <v>3596449.587351195</v>
      </c>
      <c r="H16" s="44">
        <f t="shared" si="5"/>
        <v>179822.47936755975</v>
      </c>
      <c r="I16" s="52">
        <f t="shared" si="6"/>
        <v>1402615.3390669662</v>
      </c>
      <c r="J16" s="68">
        <f t="shared" si="7"/>
        <v>1227.5640000000001</v>
      </c>
      <c r="K16" s="72">
        <f t="shared" si="8"/>
        <v>1291.1386560258134</v>
      </c>
      <c r="L16" s="68">
        <v>50</v>
      </c>
      <c r="M16" s="68">
        <f t="shared" si="9"/>
        <v>58.560011960914814</v>
      </c>
      <c r="N16" s="68">
        <f t="shared" si="10"/>
        <v>43.574148556396153</v>
      </c>
      <c r="O16" s="67">
        <f t="shared" si="11"/>
        <v>56260.267604574467</v>
      </c>
      <c r="P16" s="44">
        <f t="shared" si="20"/>
        <v>327.54549975876097</v>
      </c>
      <c r="Q16" s="43">
        <f t="shared" si="19"/>
        <v>119554.10741194776</v>
      </c>
      <c r="R16" s="67">
        <f t="shared" si="12"/>
        <v>4847.6733964296627</v>
      </c>
      <c r="S16" s="67">
        <f t="shared" ref="S16:S26" si="21">Q16*14.8</f>
        <v>1769400.7896968268</v>
      </c>
      <c r="T16" s="46">
        <f t="shared" si="13"/>
        <v>3.7187288733211359</v>
      </c>
      <c r="U16" s="52">
        <f t="shared" si="14"/>
        <v>7803.222621799955</v>
      </c>
      <c r="V16" s="46">
        <f t="shared" si="15"/>
        <v>3.0569821492485161E-2</v>
      </c>
      <c r="W16" s="52">
        <f t="shared" si="16"/>
        <v>11564.605137273829</v>
      </c>
      <c r="X16" s="46">
        <f t="shared" si="17"/>
        <v>2.4923395640343782</v>
      </c>
      <c r="Y16" s="52">
        <f t="shared" si="18"/>
        <v>20611.802719617277</v>
      </c>
    </row>
    <row r="17" spans="1:25" x14ac:dyDescent="0.25">
      <c r="A17" s="53">
        <v>11</v>
      </c>
      <c r="B17" s="53">
        <v>2031</v>
      </c>
      <c r="C17" s="47">
        <f t="shared" si="2"/>
        <v>5462.8477460797894</v>
      </c>
      <c r="D17" s="48">
        <f t="shared" si="3"/>
        <v>1154.0265863593556</v>
      </c>
      <c r="E17" s="49">
        <v>8.6</v>
      </c>
      <c r="F17" s="48">
        <f t="shared" si="4"/>
        <v>9924.6286426904571</v>
      </c>
      <c r="G17" s="48">
        <f>E17*D17*365</f>
        <v>3622489.4545820169</v>
      </c>
      <c r="H17" s="48">
        <f t="shared" si="5"/>
        <v>181124.47272910085</v>
      </c>
      <c r="I17" s="51">
        <f t="shared" si="6"/>
        <v>1412770.8872869867</v>
      </c>
      <c r="J17" s="65">
        <f t="shared" si="7"/>
        <v>1224.21</v>
      </c>
      <c r="K17" s="61">
        <f t="shared" si="8"/>
        <v>1304.0500425860716</v>
      </c>
      <c r="L17" s="65">
        <v>50</v>
      </c>
      <c r="M17" s="65">
        <f>L17*(242.839/207.342)</f>
        <v>58.560011960914814</v>
      </c>
      <c r="N17" s="65">
        <f t="shared" si="10"/>
        <v>42.304998598442872</v>
      </c>
      <c r="O17" s="64">
        <f>K17*N17</f>
        <v>55167.83522390313</v>
      </c>
      <c r="P17" s="48">
        <f t="shared" si="20"/>
        <v>330.82095475634856</v>
      </c>
      <c r="Q17" s="47">
        <f>P17*365</f>
        <v>120749.64848606722</v>
      </c>
      <c r="R17" s="64">
        <f>P17*14.8</f>
        <v>4896.1501303939585</v>
      </c>
      <c r="S17" s="64">
        <f t="shared" si="21"/>
        <v>1787094.797593795</v>
      </c>
      <c r="T17" s="50">
        <f t="shared" si="13"/>
        <v>3.7456540960378057</v>
      </c>
      <c r="U17" s="51">
        <f t="shared" si="14"/>
        <v>7859.7213648266506</v>
      </c>
      <c r="V17" s="50">
        <f t="shared" si="15"/>
        <v>3.0791160363947148E-2</v>
      </c>
      <c r="W17" s="51">
        <f t="shared" si="16"/>
        <v>11648.337934032781</v>
      </c>
      <c r="X17" s="50">
        <f t="shared" si="17"/>
        <v>2.5103851920253373</v>
      </c>
      <c r="Y17" s="51">
        <f t="shared" si="18"/>
        <v>20761.041181931443</v>
      </c>
    </row>
    <row r="18" spans="1:25" x14ac:dyDescent="0.25">
      <c r="A18" s="66">
        <v>12</v>
      </c>
      <c r="B18" s="66">
        <v>2032</v>
      </c>
      <c r="C18" s="43">
        <f t="shared" si="2"/>
        <v>5517.4762235405879</v>
      </c>
      <c r="D18" s="44">
        <f t="shared" si="3"/>
        <v>1165.5668522229494</v>
      </c>
      <c r="E18" s="45">
        <v>8.6</v>
      </c>
      <c r="F18" s="44">
        <f t="shared" si="4"/>
        <v>10023.874929117364</v>
      </c>
      <c r="G18" s="44">
        <f>E18*D18*365</f>
        <v>3658714.3491278379</v>
      </c>
      <c r="H18" s="44">
        <f t="shared" si="5"/>
        <v>182935.7174563919</v>
      </c>
      <c r="I18" s="52">
        <f t="shared" si="6"/>
        <v>1426898.5961598568</v>
      </c>
      <c r="J18" s="68">
        <f t="shared" si="7"/>
        <v>1224.21</v>
      </c>
      <c r="K18" s="72">
        <f t="shared" si="8"/>
        <v>1317.0905430119326</v>
      </c>
      <c r="L18" s="68">
        <v>50</v>
      </c>
      <c r="M18" s="68">
        <f t="shared" si="9"/>
        <v>58.560011960914814</v>
      </c>
      <c r="N18" s="68">
        <f t="shared" si="10"/>
        <v>41.072814173245511</v>
      </c>
      <c r="O18" s="67">
        <f t="shared" si="11"/>
        <v>54096.615122468131</v>
      </c>
      <c r="P18" s="44">
        <f t="shared" si="20"/>
        <v>334.12916430391215</v>
      </c>
      <c r="Q18" s="43">
        <f>P18*366</f>
        <v>122291.27413523184</v>
      </c>
      <c r="R18" s="67">
        <f t="shared" ref="R18:R26" si="22">P18*14.8</f>
        <v>4945.1116316978996</v>
      </c>
      <c r="S18" s="67">
        <f t="shared" si="21"/>
        <v>1809910.8572014314</v>
      </c>
      <c r="T18" s="46">
        <f t="shared" si="13"/>
        <v>3.7831106369981846</v>
      </c>
      <c r="U18" s="52">
        <f t="shared" si="14"/>
        <v>7938.3185784749185</v>
      </c>
      <c r="V18" s="46">
        <f t="shared" si="15"/>
        <v>3.1099071967586624E-2</v>
      </c>
      <c r="W18" s="52">
        <f t="shared" si="16"/>
        <v>11764.82131337311</v>
      </c>
      <c r="X18" s="46">
        <f t="shared" si="17"/>
        <v>2.5354890439455913</v>
      </c>
      <c r="Y18" s="52">
        <f t="shared" si="18"/>
        <v>20968.651593750761</v>
      </c>
    </row>
    <row r="19" spans="1:25" x14ac:dyDescent="0.25">
      <c r="A19" s="53">
        <v>13</v>
      </c>
      <c r="B19" s="53">
        <v>2033</v>
      </c>
      <c r="C19" s="47">
        <f t="shared" si="2"/>
        <v>5572.6509857759929</v>
      </c>
      <c r="D19" s="48">
        <f t="shared" si="3"/>
        <v>1177.2225207451784</v>
      </c>
      <c r="E19" s="49">
        <v>8.6</v>
      </c>
      <c r="F19" s="48">
        <f t="shared" si="4"/>
        <v>10124.113678408534</v>
      </c>
      <c r="G19" s="48">
        <f>E19*D19*365</f>
        <v>3695301.4926191149</v>
      </c>
      <c r="H19" s="48">
        <f t="shared" si="5"/>
        <v>184765.07463095576</v>
      </c>
      <c r="I19" s="51">
        <f t="shared" si="6"/>
        <v>1441167.5821214549</v>
      </c>
      <c r="J19" s="65">
        <f t="shared" si="7"/>
        <v>1224.21</v>
      </c>
      <c r="K19" s="61">
        <f t="shared" si="8"/>
        <v>1330.2614484420515</v>
      </c>
      <c r="L19" s="65">
        <v>55</v>
      </c>
      <c r="M19" s="65">
        <f t="shared" si="9"/>
        <v>64.41601315700629</v>
      </c>
      <c r="N19" s="65">
        <f t="shared" si="10"/>
        <v>43.864170476281615</v>
      </c>
      <c r="O19" s="64">
        <f t="shared" si="11"/>
        <v>58350.814952487453</v>
      </c>
      <c r="P19" s="48">
        <f t="shared" si="20"/>
        <v>337.47045594695112</v>
      </c>
      <c r="Q19" s="47">
        <f t="shared" si="19"/>
        <v>123176.71642063715</v>
      </c>
      <c r="R19" s="64">
        <f t="shared" si="22"/>
        <v>4994.5627480148769</v>
      </c>
      <c r="S19" s="64">
        <f t="shared" si="21"/>
        <v>1823015.4030254299</v>
      </c>
      <c r="T19" s="50">
        <f t="shared" si="13"/>
        <v>3.8209417433681652</v>
      </c>
      <c r="U19" s="51">
        <f t="shared" si="14"/>
        <v>8017.7017642596638</v>
      </c>
      <c r="V19" s="50">
        <f t="shared" si="15"/>
        <v>3.1410062687262479E-2</v>
      </c>
      <c r="W19" s="51">
        <f t="shared" si="16"/>
        <v>11882.469526506837</v>
      </c>
      <c r="X19" s="50">
        <f t="shared" si="17"/>
        <v>2.5608439343850464</v>
      </c>
      <c r="Y19" s="51">
        <f t="shared" si="18"/>
        <v>21178.338109688266</v>
      </c>
    </row>
    <row r="20" spans="1:25" x14ac:dyDescent="0.25">
      <c r="A20" s="66">
        <v>14</v>
      </c>
      <c r="B20" s="66">
        <v>2034</v>
      </c>
      <c r="C20" s="43">
        <f t="shared" si="2"/>
        <v>5628.3774956337538</v>
      </c>
      <c r="D20" s="44">
        <f t="shared" si="3"/>
        <v>1188.9947459526306</v>
      </c>
      <c r="E20" s="45">
        <v>8.6</v>
      </c>
      <c r="F20" s="44">
        <f t="shared" si="4"/>
        <v>10225.354815192622</v>
      </c>
      <c r="G20" s="44">
        <f>E20*D20*366</f>
        <v>3742479.8623604998</v>
      </c>
      <c r="H20" s="44">
        <f t="shared" si="5"/>
        <v>187123.99311802498</v>
      </c>
      <c r="I20" s="52">
        <f t="shared" si="6"/>
        <v>1459567.1463205949</v>
      </c>
      <c r="J20" s="68">
        <f t="shared" si="7"/>
        <v>1227.5639999999999</v>
      </c>
      <c r="K20" s="72">
        <f t="shared" si="8"/>
        <v>1343.5640629264724</v>
      </c>
      <c r="L20" s="68">
        <v>55</v>
      </c>
      <c r="M20" s="68">
        <f t="shared" si="9"/>
        <v>64.41601315700629</v>
      </c>
      <c r="N20" s="68">
        <f t="shared" si="10"/>
        <v>42.586573277943309</v>
      </c>
      <c r="O20" s="67">
        <f t="shared" si="11"/>
        <v>57217.789419429449</v>
      </c>
      <c r="P20" s="44">
        <f t="shared" si="20"/>
        <v>340.84516050642077</v>
      </c>
      <c r="Q20" s="43">
        <f t="shared" si="19"/>
        <v>124408.48358484358</v>
      </c>
      <c r="R20" s="67">
        <f t="shared" si="22"/>
        <v>5044.5083754950274</v>
      </c>
      <c r="S20" s="67">
        <f t="shared" si="21"/>
        <v>1841245.557055685</v>
      </c>
      <c r="T20" s="46">
        <f t="shared" si="13"/>
        <v>3.8697241776807569</v>
      </c>
      <c r="U20" s="52">
        <f t="shared" si="14"/>
        <v>8120.064751167748</v>
      </c>
      <c r="V20" s="46">
        <f t="shared" si="15"/>
        <v>3.1811078830064246E-2</v>
      </c>
      <c r="W20" s="52">
        <f t="shared" si="16"/>
        <v>12034.174479913749</v>
      </c>
      <c r="X20" s="46">
        <f t="shared" si="17"/>
        <v>2.5935385446158259</v>
      </c>
      <c r="Y20" s="52">
        <f t="shared" si="18"/>
        <v>21448.724563362644</v>
      </c>
    </row>
    <row r="21" spans="1:25" x14ac:dyDescent="0.25">
      <c r="A21" s="53">
        <v>15</v>
      </c>
      <c r="B21" s="53">
        <v>2035</v>
      </c>
      <c r="C21" s="47">
        <f t="shared" si="2"/>
        <v>5684.6612705900916</v>
      </c>
      <c r="D21" s="48">
        <f t="shared" si="3"/>
        <v>1200.884693412157</v>
      </c>
      <c r="E21" s="49">
        <v>8.6</v>
      </c>
      <c r="F21" s="48">
        <f t="shared" si="4"/>
        <v>10327.608363344551</v>
      </c>
      <c r="G21" s="48">
        <f>E21*D21*365</f>
        <v>3769577.0526207611</v>
      </c>
      <c r="H21" s="48">
        <f t="shared" si="5"/>
        <v>188478.85263103805</v>
      </c>
      <c r="I21" s="51">
        <f t="shared" si="6"/>
        <v>1470135.0505220969</v>
      </c>
      <c r="J21" s="65">
        <f t="shared" si="7"/>
        <v>1224.21</v>
      </c>
      <c r="K21" s="61">
        <f t="shared" si="8"/>
        <v>1356.9997035557374</v>
      </c>
      <c r="L21" s="65">
        <v>55</v>
      </c>
      <c r="M21" s="65">
        <f t="shared" si="9"/>
        <v>64.41601315700629</v>
      </c>
      <c r="N21" s="65">
        <f t="shared" si="10"/>
        <v>41.346187648488645</v>
      </c>
      <c r="O21" s="64">
        <f t="shared" si="11"/>
        <v>56106.764382158981</v>
      </c>
      <c r="P21" s="48">
        <f t="shared" si="20"/>
        <v>344.25361211148504</v>
      </c>
      <c r="Q21" s="47">
        <f>P21*365</f>
        <v>125652.56842069204</v>
      </c>
      <c r="R21" s="64">
        <f t="shared" si="22"/>
        <v>5094.9534592499786</v>
      </c>
      <c r="S21" s="64">
        <f t="shared" si="21"/>
        <v>1859658.0126262424</v>
      </c>
      <c r="T21" s="50">
        <f t="shared" si="13"/>
        <v>3.8977426724098669</v>
      </c>
      <c r="U21" s="51">
        <f t="shared" si="14"/>
        <v>8178.8575697212864</v>
      </c>
      <c r="V21" s="50">
        <f t="shared" si="15"/>
        <v>3.2041404947276468E-2</v>
      </c>
      <c r="W21" s="51">
        <f t="shared" si="16"/>
        <v>12121.30716398963</v>
      </c>
      <c r="X21" s="50">
        <f t="shared" si="17"/>
        <v>2.6123168974661874</v>
      </c>
      <c r="Y21" s="51">
        <f t="shared" si="18"/>
        <v>21604.022705693013</v>
      </c>
    </row>
    <row r="22" spans="1:25" x14ac:dyDescent="0.25">
      <c r="A22" s="66">
        <v>16</v>
      </c>
      <c r="B22" s="66">
        <v>2036</v>
      </c>
      <c r="C22" s="43">
        <f t="shared" si="2"/>
        <v>5741.5078832959935</v>
      </c>
      <c r="D22" s="44">
        <f t="shared" si="3"/>
        <v>1212.8935403462785</v>
      </c>
      <c r="E22" s="45">
        <v>8.6</v>
      </c>
      <c r="F22" s="44">
        <f t="shared" si="4"/>
        <v>10430.884446977994</v>
      </c>
      <c r="G22" s="44">
        <f>E22*D22*365</f>
        <v>3807272.8231469677</v>
      </c>
      <c r="H22" s="44">
        <f t="shared" si="5"/>
        <v>190363.64115734838</v>
      </c>
      <c r="I22" s="52">
        <f t="shared" si="6"/>
        <v>1484836.4010273174</v>
      </c>
      <c r="J22" s="68">
        <f t="shared" si="7"/>
        <v>1224.2099999999998</v>
      </c>
      <c r="K22" s="72">
        <f t="shared" si="8"/>
        <v>1370.5697005912946</v>
      </c>
      <c r="L22" s="68">
        <v>55</v>
      </c>
      <c r="M22" s="68">
        <f t="shared" si="9"/>
        <v>64.41601315700629</v>
      </c>
      <c r="N22" s="68">
        <f t="shared" si="10"/>
        <v>40.141929755814225</v>
      </c>
      <c r="O22" s="67">
        <f t="shared" si="11"/>
        <v>55017.312646583079</v>
      </c>
      <c r="P22" s="44">
        <f t="shared" si="20"/>
        <v>347.6961482325998</v>
      </c>
      <c r="Q22" s="43">
        <f>P22*366</f>
        <v>127256.79025313152</v>
      </c>
      <c r="R22" s="67">
        <f t="shared" si="22"/>
        <v>5145.9029938424774</v>
      </c>
      <c r="S22" s="67">
        <f t="shared" si="21"/>
        <v>1883400.4957463467</v>
      </c>
      <c r="T22" s="46">
        <f t="shared" si="13"/>
        <v>3.9367200991339648</v>
      </c>
      <c r="U22" s="52">
        <f t="shared" si="14"/>
        <v>8260.6461454184973</v>
      </c>
      <c r="V22" s="46">
        <f t="shared" si="15"/>
        <v>3.2361818996749232E-2</v>
      </c>
      <c r="W22" s="52">
        <f t="shared" si="16"/>
        <v>12242.520235629527</v>
      </c>
      <c r="X22" s="46">
        <f t="shared" si="17"/>
        <v>2.6384400664408485</v>
      </c>
      <c r="Y22" s="52">
        <f t="shared" si="18"/>
        <v>21820.062932749934</v>
      </c>
    </row>
    <row r="23" spans="1:25" x14ac:dyDescent="0.25">
      <c r="A23" s="53">
        <v>17</v>
      </c>
      <c r="B23" s="53">
        <v>2037</v>
      </c>
      <c r="C23" s="47">
        <f t="shared" si="2"/>
        <v>5798.9229621289514</v>
      </c>
      <c r="D23" s="48">
        <f t="shared" si="3"/>
        <v>1225.022475749741</v>
      </c>
      <c r="E23" s="49">
        <v>8.6</v>
      </c>
      <c r="F23" s="48">
        <f t="shared" si="4"/>
        <v>10535.193291447773</v>
      </c>
      <c r="G23" s="48">
        <f>E23*D23*365</f>
        <v>3845345.5513784373</v>
      </c>
      <c r="H23" s="48">
        <f t="shared" si="5"/>
        <v>192267.27756892185</v>
      </c>
      <c r="I23" s="51">
        <f t="shared" si="6"/>
        <v>1499684.7650375906</v>
      </c>
      <c r="J23" s="65">
        <f t="shared" si="7"/>
        <v>1224.21</v>
      </c>
      <c r="K23" s="61">
        <f t="shared" si="8"/>
        <v>1384.2753975972073</v>
      </c>
      <c r="L23" s="65">
        <v>55</v>
      </c>
      <c r="M23" s="65">
        <f t="shared" si="9"/>
        <v>64.41601315700629</v>
      </c>
      <c r="N23" s="65">
        <f t="shared" si="10"/>
        <v>38.972747335741964</v>
      </c>
      <c r="O23" s="64">
        <f t="shared" si="11"/>
        <v>53949.015313639706</v>
      </c>
      <c r="P23" s="48">
        <f>F23/60*2</f>
        <v>351.17310971492577</v>
      </c>
      <c r="Q23" s="47">
        <f>P23*365</f>
        <v>128178.1850459479</v>
      </c>
      <c r="R23" s="64">
        <f t="shared" si="22"/>
        <v>5197.3620237809018</v>
      </c>
      <c r="S23" s="64">
        <f t="shared" si="21"/>
        <v>1897037.138680029</v>
      </c>
      <c r="T23" s="50">
        <f t="shared" si="13"/>
        <v>3.9760873001253043</v>
      </c>
      <c r="U23" s="51">
        <f t="shared" si="14"/>
        <v>8343.252606872682</v>
      </c>
      <c r="V23" s="50">
        <f t="shared" si="15"/>
        <v>3.2685437186716723E-2</v>
      </c>
      <c r="W23" s="51">
        <f t="shared" si="16"/>
        <v>12364.945437985822</v>
      </c>
      <c r="X23" s="50">
        <f t="shared" si="17"/>
        <v>2.664824467105257</v>
      </c>
      <c r="Y23" s="51">
        <f t="shared" si="18"/>
        <v>22038.263562077434</v>
      </c>
    </row>
    <row r="24" spans="1:25" x14ac:dyDescent="0.25">
      <c r="A24" s="66">
        <v>18</v>
      </c>
      <c r="B24" s="66">
        <v>2038</v>
      </c>
      <c r="C24" s="43">
        <f t="shared" si="2"/>
        <v>5856.9121917502416</v>
      </c>
      <c r="D24" s="44">
        <f t="shared" si="3"/>
        <v>1237.2727005072386</v>
      </c>
      <c r="E24" s="45">
        <v>8.6</v>
      </c>
      <c r="F24" s="44">
        <f t="shared" si="4"/>
        <v>10640.545224362251</v>
      </c>
      <c r="G24" s="44">
        <f>E24*D24*366</f>
        <v>3894439.552116584</v>
      </c>
      <c r="H24" s="44">
        <f t="shared" si="5"/>
        <v>194721.97760582919</v>
      </c>
      <c r="I24" s="52">
        <f t="shared" si="6"/>
        <v>1518831.4253254677</v>
      </c>
      <c r="J24" s="68">
        <f t="shared" si="7"/>
        <v>1227.5639999999999</v>
      </c>
      <c r="K24" s="72">
        <f t="shared" si="8"/>
        <v>1398.1181515731794</v>
      </c>
      <c r="L24" s="68">
        <v>60</v>
      </c>
      <c r="M24" s="68">
        <f t="shared" si="9"/>
        <v>70.272014353097774</v>
      </c>
      <c r="N24" s="68">
        <f t="shared" si="10"/>
        <v>41.277402297343656</v>
      </c>
      <c r="O24" s="67">
        <f t="shared" si="11"/>
        <v>57710.685401704621</v>
      </c>
      <c r="P24" s="44">
        <f t="shared" si="20"/>
        <v>354.68484081207504</v>
      </c>
      <c r="Q24" s="43">
        <f t="shared" si="19"/>
        <v>129459.96689640739</v>
      </c>
      <c r="R24" s="67">
        <f t="shared" si="22"/>
        <v>5249.3356440187108</v>
      </c>
      <c r="S24" s="67">
        <f t="shared" si="21"/>
        <v>1916007.5100668296</v>
      </c>
      <c r="T24" s="46">
        <f t="shared" si="13"/>
        <v>4.0268504968885486</v>
      </c>
      <c r="U24" s="52">
        <f t="shared" si="14"/>
        <v>8449.7719415248121</v>
      </c>
      <c r="V24" s="46">
        <f t="shared" si="15"/>
        <v>3.3102736192990964E-2</v>
      </c>
      <c r="W24" s="52">
        <f t="shared" si="16"/>
        <v>12522.810220837913</v>
      </c>
      <c r="X24" s="46">
        <f t="shared" si="17"/>
        <v>2.6988466096167927</v>
      </c>
      <c r="Y24" s="52">
        <f t="shared" si="18"/>
        <v>22319.62879002067</v>
      </c>
    </row>
    <row r="25" spans="1:25" x14ac:dyDescent="0.25">
      <c r="A25" s="53">
        <v>19</v>
      </c>
      <c r="B25" s="53">
        <v>2039</v>
      </c>
      <c r="C25" s="47">
        <f t="shared" si="2"/>
        <v>5915.481313667744</v>
      </c>
      <c r="D25" s="48">
        <f t="shared" si="3"/>
        <v>1249.6454275123108</v>
      </c>
      <c r="E25" s="49">
        <v>8.6</v>
      </c>
      <c r="F25" s="48">
        <f t="shared" si="4"/>
        <v>10746.950676605873</v>
      </c>
      <c r="G25" s="48">
        <f>E25*D25*365</f>
        <v>3922636.9969611438</v>
      </c>
      <c r="H25" s="48">
        <f t="shared" si="5"/>
        <v>196131.8498480572</v>
      </c>
      <c r="I25" s="51">
        <f t="shared" si="6"/>
        <v>1529828.4288148461</v>
      </c>
      <c r="J25" s="65">
        <f t="shared" si="7"/>
        <v>1224.21</v>
      </c>
      <c r="K25" s="61">
        <f t="shared" si="8"/>
        <v>1412.099333088911</v>
      </c>
      <c r="L25" s="65">
        <v>60</v>
      </c>
      <c r="M25" s="65">
        <f t="shared" si="9"/>
        <v>70.272014353097774</v>
      </c>
      <c r="N25" s="65">
        <f t="shared" si="10"/>
        <v>40.075147861498692</v>
      </c>
      <c r="O25" s="64">
        <f t="shared" si="11"/>
        <v>56590.089568661802</v>
      </c>
      <c r="P25" s="48">
        <f t="shared" si="20"/>
        <v>358.23168922019579</v>
      </c>
      <c r="Q25" s="47">
        <f>P25*365</f>
        <v>130754.56656537147</v>
      </c>
      <c r="R25" s="64">
        <f t="shared" si="22"/>
        <v>5301.829000458898</v>
      </c>
      <c r="S25" s="64">
        <f t="shared" si="21"/>
        <v>1935167.5851674979</v>
      </c>
      <c r="T25" s="50">
        <f t="shared" si="13"/>
        <v>4.0560066548578231</v>
      </c>
      <c r="U25" s="51">
        <f>T25*1.1015*1905</f>
        <v>8510.9519842708232</v>
      </c>
      <c r="V25" s="50">
        <f t="shared" si="15"/>
        <v>3.3342414474169725E-2</v>
      </c>
      <c r="W25" s="51">
        <f t="shared" si="16"/>
        <v>12613.480841289334</v>
      </c>
      <c r="X25" s="50">
        <f t="shared" si="17"/>
        <v>2.7183874388940725</v>
      </c>
      <c r="Y25" s="51">
        <f t="shared" si="18"/>
        <v>22481.232659675192</v>
      </c>
    </row>
    <row r="26" spans="1:25" x14ac:dyDescent="0.25">
      <c r="A26" s="66">
        <v>20</v>
      </c>
      <c r="B26" s="66">
        <v>2040</v>
      </c>
      <c r="C26" s="43">
        <f t="shared" si="2"/>
        <v>5974.6361268044229</v>
      </c>
      <c r="D26" s="44">
        <f t="shared" ref="D26" si="23">$D$4*1.01^(B26-$B$4)</f>
        <v>1262.1418817874342</v>
      </c>
      <c r="E26" s="45">
        <v>8.6</v>
      </c>
      <c r="F26" s="44">
        <f t="shared" ref="F26" si="24">D26*E26</f>
        <v>10854.420183371933</v>
      </c>
      <c r="G26" s="44">
        <f>E26*D26*365</f>
        <v>3961863.3669307553</v>
      </c>
      <c r="H26" s="44">
        <f t="shared" ref="H26" si="25">G26/20</f>
        <v>198093.16834653777</v>
      </c>
      <c r="I26" s="52">
        <f t="shared" si="6"/>
        <v>1545126.7131029947</v>
      </c>
      <c r="J26" s="68">
        <f t="shared" si="7"/>
        <v>1224.21</v>
      </c>
      <c r="K26" s="72">
        <f t="shared" si="8"/>
        <v>1426.2203264198004</v>
      </c>
      <c r="L26" s="68">
        <v>60</v>
      </c>
      <c r="M26" s="68">
        <f t="shared" si="9"/>
        <v>70.272014353097774</v>
      </c>
      <c r="N26" s="68">
        <f t="shared" si="10"/>
        <v>38.907910545144368</v>
      </c>
      <c r="O26" s="67">
        <f t="shared" si="11"/>
        <v>55491.252878008192</v>
      </c>
      <c r="P26" s="44">
        <f t="shared" si="20"/>
        <v>361.81400611239775</v>
      </c>
      <c r="Q26" s="43">
        <f t="shared" ref="Q26" si="26">P26*365</f>
        <v>132062.11223102518</v>
      </c>
      <c r="R26" s="67">
        <f t="shared" si="22"/>
        <v>5354.8472904634873</v>
      </c>
      <c r="S26" s="67">
        <f t="shared" si="21"/>
        <v>1954519.2610191728</v>
      </c>
      <c r="T26" s="46">
        <f t="shared" si="13"/>
        <v>4.0965667214064014</v>
      </c>
      <c r="U26" s="52">
        <f t="shared" si="14"/>
        <v>8596.0615041135334</v>
      </c>
      <c r="V26" s="46">
        <f t="shared" si="15"/>
        <v>3.3675838618911422E-2</v>
      </c>
      <c r="W26" s="52">
        <f t="shared" si="16"/>
        <v>12739.615649702229</v>
      </c>
      <c r="X26" s="46">
        <f t="shared" si="17"/>
        <v>2.7455713132830133</v>
      </c>
      <c r="Y26" s="52">
        <f t="shared" si="18"/>
        <v>22706.044986271943</v>
      </c>
    </row>
    <row r="27" spans="1:25" x14ac:dyDescent="0.25">
      <c r="A27" s="53"/>
      <c r="B27" s="53"/>
      <c r="C27" s="47"/>
      <c r="D27" s="48"/>
      <c r="E27" s="53"/>
      <c r="F27" s="48"/>
      <c r="G27" s="48"/>
      <c r="H27" s="48"/>
      <c r="I27" s="48"/>
      <c r="J27" s="65"/>
      <c r="K27" s="65"/>
      <c r="L27" s="65"/>
      <c r="M27" s="65"/>
      <c r="N27" s="65"/>
      <c r="O27" s="64"/>
      <c r="P27" s="47"/>
      <c r="Q27" s="47"/>
      <c r="R27" s="71"/>
      <c r="S27" s="71"/>
      <c r="T27" s="50"/>
      <c r="U27" s="50"/>
      <c r="V27" s="50"/>
      <c r="W27" s="50"/>
      <c r="X27" s="50"/>
      <c r="Y27" s="50"/>
    </row>
    <row r="28" spans="1:25" x14ac:dyDescent="0.25">
      <c r="A28" s="66"/>
      <c r="B28" s="66"/>
      <c r="C28" s="94"/>
      <c r="D28" s="94"/>
      <c r="E28" s="94"/>
      <c r="F28" s="94"/>
      <c r="G28" s="94"/>
      <c r="H28" s="94"/>
      <c r="I28" s="95"/>
      <c r="J28" s="94"/>
      <c r="K28" s="94"/>
      <c r="L28" s="94"/>
      <c r="M28" s="94"/>
      <c r="N28" s="94"/>
      <c r="O28" s="95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1:25" ht="15.75" thickBot="1" x14ac:dyDescent="0.3">
      <c r="A29" s="54"/>
      <c r="B29" s="54"/>
      <c r="C29" s="54"/>
      <c r="D29" s="54"/>
      <c r="E29" s="54"/>
      <c r="F29" s="55"/>
      <c r="G29" s="56">
        <f>SUM(G4:G28)</f>
        <v>72258165.077263132</v>
      </c>
      <c r="H29" s="56">
        <f>SUM(H4:H28)</f>
        <v>3612908.2538631558</v>
      </c>
      <c r="I29" s="58">
        <f>SUM(I4:I28)</f>
        <v>28180684.380132627</v>
      </c>
      <c r="J29" s="54"/>
      <c r="K29" s="56">
        <f>SUM(K4:K28)</f>
        <v>25994.303786399829</v>
      </c>
      <c r="L29" s="54"/>
      <c r="M29" s="54"/>
      <c r="N29" s="54"/>
      <c r="O29" s="58">
        <f>SUM(O4:O28)</f>
        <v>1129073.7052656785</v>
      </c>
      <c r="P29" s="73"/>
      <c r="Q29" s="73">
        <f>SUM(Q4:Q28)</f>
        <v>2408276.6590628689</v>
      </c>
      <c r="R29" s="58"/>
      <c r="S29" s="58">
        <f t="shared" ref="S29:Y29" si="27">SUM(S4:S28)</f>
        <v>35642494.554130472</v>
      </c>
      <c r="T29" s="56">
        <f t="shared" si="27"/>
        <v>74.714942689890094</v>
      </c>
      <c r="U29" s="74">
        <f t="shared" si="27"/>
        <v>156778.66035540102</v>
      </c>
      <c r="V29" s="56">
        <f t="shared" si="27"/>
        <v>0.61419440315673668</v>
      </c>
      <c r="W29" s="74">
        <f t="shared" si="27"/>
        <v>232350.57986116497</v>
      </c>
      <c r="X29" s="56">
        <f t="shared" si="27"/>
        <v>50.074908398543343</v>
      </c>
      <c r="Y29" s="74">
        <f t="shared" si="27"/>
        <v>414122.59710027411</v>
      </c>
    </row>
    <row r="30" spans="1:25" ht="15.75" thickTop="1" x14ac:dyDescent="0.25"/>
    <row r="31" spans="1:25" x14ac:dyDescent="0.25">
      <c r="A31" t="s">
        <v>53</v>
      </c>
      <c r="B31" s="20"/>
      <c r="S31" s="30"/>
    </row>
    <row r="32" spans="1:25" x14ac:dyDescent="0.25">
      <c r="A32" s="20" t="s">
        <v>52</v>
      </c>
    </row>
    <row r="33" spans="1:19" x14ac:dyDescent="0.25">
      <c r="A33" s="20" t="s">
        <v>95</v>
      </c>
    </row>
    <row r="34" spans="1:19" x14ac:dyDescent="0.25">
      <c r="A34" s="20" t="s">
        <v>98</v>
      </c>
    </row>
    <row r="35" spans="1:19" x14ac:dyDescent="0.25">
      <c r="A35" s="20" t="s">
        <v>147</v>
      </c>
    </row>
    <row r="36" spans="1:19" x14ac:dyDescent="0.25">
      <c r="A36" s="20" t="s">
        <v>46</v>
      </c>
    </row>
    <row r="37" spans="1:19" x14ac:dyDescent="0.25">
      <c r="A37" s="20" t="s">
        <v>47</v>
      </c>
    </row>
    <row r="38" spans="1:19" x14ac:dyDescent="0.25">
      <c r="A38" s="20" t="s">
        <v>48</v>
      </c>
    </row>
    <row r="39" spans="1:19" x14ac:dyDescent="0.25">
      <c r="A39" s="20" t="s">
        <v>101</v>
      </c>
    </row>
    <row r="40" spans="1:19" x14ac:dyDescent="0.25">
      <c r="A40" s="20" t="s">
        <v>49</v>
      </c>
    </row>
    <row r="41" spans="1:19" x14ac:dyDescent="0.25">
      <c r="A41" s="20" t="s">
        <v>102</v>
      </c>
    </row>
    <row r="42" spans="1:19" x14ac:dyDescent="0.25">
      <c r="A42" s="20" t="s">
        <v>112</v>
      </c>
    </row>
    <row r="43" spans="1:19" x14ac:dyDescent="0.25">
      <c r="A43" s="20" t="s">
        <v>50</v>
      </c>
    </row>
    <row r="44" spans="1:19" x14ac:dyDescent="0.25">
      <c r="A44" s="20" t="s">
        <v>79</v>
      </c>
    </row>
    <row r="45" spans="1:19" x14ac:dyDescent="0.25">
      <c r="A45" s="18" t="s">
        <v>54</v>
      </c>
    </row>
    <row r="46" spans="1:19" x14ac:dyDescent="0.25">
      <c r="A46" s="18" t="s">
        <v>125</v>
      </c>
    </row>
    <row r="47" spans="1:19" x14ac:dyDescent="0.25">
      <c r="A47" s="18" t="s">
        <v>51</v>
      </c>
      <c r="S47" s="32"/>
    </row>
    <row r="48" spans="1:19" x14ac:dyDescent="0.25">
      <c r="A48" s="18" t="s">
        <v>103</v>
      </c>
    </row>
    <row r="49" spans="1:21" x14ac:dyDescent="0.25">
      <c r="A49" s="18" t="s">
        <v>104</v>
      </c>
      <c r="M49" s="18"/>
    </row>
    <row r="50" spans="1:21" x14ac:dyDescent="0.25">
      <c r="A50" s="41" t="s">
        <v>198</v>
      </c>
      <c r="B50" s="29"/>
    </row>
    <row r="51" spans="1:21" x14ac:dyDescent="0.25">
      <c r="A51" s="41" t="s">
        <v>199</v>
      </c>
      <c r="B51" s="29"/>
    </row>
    <row r="52" spans="1:21" x14ac:dyDescent="0.25">
      <c r="A52" s="41" t="s">
        <v>200</v>
      </c>
      <c r="B52" s="29"/>
    </row>
    <row r="53" spans="1:21" x14ac:dyDescent="0.25">
      <c r="A53" s="41" t="s">
        <v>201</v>
      </c>
      <c r="B53" s="29"/>
    </row>
    <row r="54" spans="1:21" x14ac:dyDescent="0.25">
      <c r="A54" s="41" t="s">
        <v>202</v>
      </c>
      <c r="B54" s="29"/>
      <c r="F54" t="s">
        <v>197</v>
      </c>
    </row>
    <row r="55" spans="1:21" x14ac:dyDescent="0.25">
      <c r="A55" s="41" t="s">
        <v>203</v>
      </c>
      <c r="B55" s="29"/>
    </row>
    <row r="56" spans="1:21" x14ac:dyDescent="0.25">
      <c r="A56" s="41"/>
      <c r="B56" s="29"/>
    </row>
    <row r="57" spans="1:21" x14ac:dyDescent="0.25">
      <c r="A57" s="32" t="s">
        <v>228</v>
      </c>
      <c r="B57" s="29"/>
    </row>
    <row r="58" spans="1:21" x14ac:dyDescent="0.25">
      <c r="A58" s="18" t="s">
        <v>38</v>
      </c>
      <c r="B58" s="29"/>
    </row>
    <row r="59" spans="1:21" x14ac:dyDescent="0.25">
      <c r="A59" s="18"/>
      <c r="B59" s="29"/>
    </row>
    <row r="60" spans="1:21" x14ac:dyDescent="0.25">
      <c r="A60" s="133" t="s">
        <v>195</v>
      </c>
      <c r="B60" s="133"/>
      <c r="C60" s="133"/>
      <c r="D60" s="133"/>
      <c r="E60" s="133"/>
      <c r="F60" s="133"/>
      <c r="G60" s="133"/>
      <c r="I60" s="133" t="s">
        <v>196</v>
      </c>
      <c r="J60" s="133"/>
      <c r="K60" s="133"/>
      <c r="L60" s="133"/>
      <c r="M60" s="133"/>
      <c r="N60" s="133"/>
    </row>
    <row r="61" spans="1:21" ht="60" x14ac:dyDescent="0.25">
      <c r="A61" s="92" t="s">
        <v>44</v>
      </c>
      <c r="B61" s="92" t="s">
        <v>127</v>
      </c>
      <c r="C61" s="92" t="s">
        <v>128</v>
      </c>
      <c r="D61" s="92" t="s">
        <v>126</v>
      </c>
      <c r="E61" s="92" t="s">
        <v>130</v>
      </c>
      <c r="F61" s="92" t="s">
        <v>131</v>
      </c>
      <c r="G61" s="92" t="s">
        <v>132</v>
      </c>
      <c r="H61" s="59"/>
      <c r="I61" s="92" t="s">
        <v>133</v>
      </c>
      <c r="J61" s="92" t="s">
        <v>134</v>
      </c>
      <c r="K61" s="92" t="s">
        <v>135</v>
      </c>
      <c r="L61" s="92" t="s">
        <v>137</v>
      </c>
      <c r="M61" s="92" t="s">
        <v>138</v>
      </c>
      <c r="N61" s="92" t="s">
        <v>139</v>
      </c>
      <c r="R61" s="1"/>
      <c r="S61" s="1"/>
      <c r="T61"/>
      <c r="U61"/>
    </row>
    <row r="62" spans="1:21" x14ac:dyDescent="0.25">
      <c r="A62" s="53">
        <v>1</v>
      </c>
      <c r="B62" s="51">
        <f t="shared" ref="B62:B81" si="28">I7/(1.03^A7)</f>
        <v>1241711.7031368348</v>
      </c>
      <c r="C62" s="51">
        <f t="shared" ref="C62:C81" si="29">S7/(1.03^A7)</f>
        <v>1570712.2398653978</v>
      </c>
      <c r="D62" s="51">
        <f t="shared" ref="D62:D81" si="30">O7</f>
        <v>56379.826873302562</v>
      </c>
      <c r="E62" s="51">
        <f t="shared" ref="E62:E81" si="31">U7/(1.03^A7)</f>
        <v>6908.0613777663057</v>
      </c>
      <c r="F62" s="51">
        <f t="shared" ref="F62:F81" si="32">W7/(1.03^A7)</f>
        <v>10237.949879160476</v>
      </c>
      <c r="G62" s="51">
        <f t="shared" ref="G62:G81" si="33">Y7/(1.03^A7)</f>
        <v>18247.28130858867</v>
      </c>
      <c r="H62" s="59"/>
      <c r="I62" s="51">
        <f t="shared" ref="I62:I81" si="34">I7/(1.07^A7)</f>
        <v>1195292.5740476071</v>
      </c>
      <c r="J62" s="51">
        <f t="shared" ref="J62:J81" si="35">C62/(1.07/1.03)^A62</f>
        <v>1511994.0252909905</v>
      </c>
      <c r="K62" s="51">
        <f t="shared" ref="K62:K81" si="36">D62/(1.07/1.03)^A62</f>
        <v>54272.169793926769</v>
      </c>
      <c r="L62" s="51">
        <f t="shared" ref="L62:L81" si="37">E62/(1.07/1.03)^A62</f>
        <v>6649.8160926161636</v>
      </c>
      <c r="M62" s="51">
        <f t="shared" ref="M62:M81" si="38">F62/(1.07/1.03)^A62</f>
        <v>9855.2227808741045</v>
      </c>
      <c r="N62" s="51">
        <f t="shared" ref="N62:N81" si="39">G62/(1.07/1.03)^A62</f>
        <v>17565.139951258254</v>
      </c>
      <c r="R62" s="1"/>
      <c r="S62" s="1"/>
      <c r="T62"/>
      <c r="U62"/>
    </row>
    <row r="63" spans="1:21" x14ac:dyDescent="0.25">
      <c r="A63" s="66">
        <v>2</v>
      </c>
      <c r="B63" s="52">
        <f t="shared" si="28"/>
        <v>1220936.6888723567</v>
      </c>
      <c r="C63" s="52">
        <f t="shared" si="29"/>
        <v>1540212.9730718951</v>
      </c>
      <c r="D63" s="52">
        <f t="shared" si="30"/>
        <v>55285.072953432631</v>
      </c>
      <c r="E63" s="52">
        <f t="shared" si="31"/>
        <v>6792.4829602476211</v>
      </c>
      <c r="F63" s="52">
        <f t="shared" si="32"/>
        <v>10066.659269398757</v>
      </c>
      <c r="G63" s="52">
        <f t="shared" si="33"/>
        <v>17941.986989048779</v>
      </c>
      <c r="H63" s="59"/>
      <c r="I63" s="52">
        <f t="shared" si="34"/>
        <v>1131357.9642105715</v>
      </c>
      <c r="J63" s="52">
        <f t="shared" si="35"/>
        <v>1427209.3135924304</v>
      </c>
      <c r="K63" s="52">
        <f t="shared" si="36"/>
        <v>51228.870553145847</v>
      </c>
      <c r="L63" s="52">
        <f t="shared" si="37"/>
        <v>6294.1262752438652</v>
      </c>
      <c r="M63" s="52">
        <f t="shared" si="38"/>
        <v>9328.0800234999933</v>
      </c>
      <c r="N63" s="52">
        <f t="shared" si="39"/>
        <v>16625.603979982399</v>
      </c>
      <c r="R63" s="1"/>
      <c r="S63" s="1"/>
      <c r="T63"/>
      <c r="U63"/>
    </row>
    <row r="64" spans="1:21" x14ac:dyDescent="0.25">
      <c r="A64" s="53">
        <v>3</v>
      </c>
      <c r="B64" s="51">
        <f t="shared" si="28"/>
        <v>1193958.0623714633</v>
      </c>
      <c r="C64" s="51">
        <f t="shared" si="29"/>
        <v>1510305.9250510817</v>
      </c>
      <c r="D64" s="51">
        <f t="shared" si="30"/>
        <v>59374.583666585298</v>
      </c>
      <c r="E64" s="51">
        <f t="shared" si="31"/>
        <v>6642.3917536614272</v>
      </c>
      <c r="F64" s="51">
        <f t="shared" si="32"/>
        <v>9844.2196924607451</v>
      </c>
      <c r="G64" s="51">
        <f t="shared" si="33"/>
        <v>17545.528949845702</v>
      </c>
      <c r="H64" s="59"/>
      <c r="I64" s="51">
        <f t="shared" si="34"/>
        <v>1064999.5237889462</v>
      </c>
      <c r="J64" s="51">
        <f t="shared" si="35"/>
        <v>1347178.884792855</v>
      </c>
      <c r="K64" s="51">
        <f t="shared" si="36"/>
        <v>52961.578235406232</v>
      </c>
      <c r="L64" s="51">
        <f t="shared" si="37"/>
        <v>5924.9518701002253</v>
      </c>
      <c r="M64" s="51">
        <f t="shared" si="38"/>
        <v>8780.9527109526389</v>
      </c>
      <c r="N64" s="51">
        <f t="shared" si="39"/>
        <v>15650.449178337451</v>
      </c>
      <c r="R64" s="1"/>
      <c r="S64" s="1"/>
      <c r="T64"/>
      <c r="U64"/>
    </row>
    <row r="65" spans="1:21" x14ac:dyDescent="0.25">
      <c r="A65" s="66">
        <v>4</v>
      </c>
      <c r="B65" s="52">
        <f t="shared" si="28"/>
        <v>1170774.4106749301</v>
      </c>
      <c r="C65" s="52">
        <f t="shared" si="29"/>
        <v>1485037.0747556405</v>
      </c>
      <c r="D65" s="52">
        <f t="shared" si="30"/>
        <v>58221.679129370059</v>
      </c>
      <c r="E65" s="52">
        <f t="shared" si="31"/>
        <v>6513.413273007809</v>
      </c>
      <c r="F65" s="52">
        <f t="shared" si="32"/>
        <v>9653.0697955197611</v>
      </c>
      <c r="G65" s="52">
        <f t="shared" si="33"/>
        <v>17204.839067324425</v>
      </c>
      <c r="H65" s="59"/>
      <c r="I65" s="52">
        <f t="shared" si="34"/>
        <v>1005279.9243241454</v>
      </c>
      <c r="J65" s="52">
        <f t="shared" si="35"/>
        <v>1275120.078229489</v>
      </c>
      <c r="K65" s="52">
        <f t="shared" si="36"/>
        <v>49991.770110056357</v>
      </c>
      <c r="L65" s="52">
        <f t="shared" si="37"/>
        <v>5592.7115783189065</v>
      </c>
      <c r="M65" s="52">
        <f t="shared" si="38"/>
        <v>8288.5628393104362</v>
      </c>
      <c r="N65" s="52">
        <f t="shared" si="39"/>
        <v>14772.853897309182</v>
      </c>
      <c r="R65" s="1"/>
      <c r="S65" s="1"/>
      <c r="T65"/>
      <c r="U65"/>
    </row>
    <row r="66" spans="1:21" x14ac:dyDescent="0.25">
      <c r="A66" s="53">
        <v>5</v>
      </c>
      <c r="B66" s="51">
        <f t="shared" si="28"/>
        <v>1148040.9269725042</v>
      </c>
      <c r="C66" s="51">
        <f t="shared" si="29"/>
        <v>1452222.711042142</v>
      </c>
      <c r="D66" s="51">
        <f t="shared" si="30"/>
        <v>57091.161088023051</v>
      </c>
      <c r="E66" s="51">
        <f t="shared" si="31"/>
        <v>6386.9392288717336</v>
      </c>
      <c r="F66" s="51">
        <f t="shared" si="32"/>
        <v>9465.6315470630634</v>
      </c>
      <c r="G66" s="51">
        <f t="shared" si="33"/>
        <v>16870.764522327834</v>
      </c>
      <c r="H66" s="59"/>
      <c r="I66" s="51">
        <f t="shared" si="34"/>
        <v>948909.08744615573</v>
      </c>
      <c r="J66" s="51">
        <f t="shared" si="35"/>
        <v>1200329.4439489837</v>
      </c>
      <c r="K66" s="51">
        <f t="shared" si="36"/>
        <v>47188.493281455048</v>
      </c>
      <c r="L66" s="51">
        <f t="shared" si="37"/>
        <v>5279.1015832729845</v>
      </c>
      <c r="M66" s="51">
        <f t="shared" si="38"/>
        <v>7823.7836146762029</v>
      </c>
      <c r="N66" s="51">
        <f t="shared" si="39"/>
        <v>13944.469566618945</v>
      </c>
      <c r="R66" s="1"/>
      <c r="S66" s="1"/>
      <c r="T66"/>
      <c r="U66"/>
    </row>
    <row r="67" spans="1:21" x14ac:dyDescent="0.25">
      <c r="A67" s="66">
        <v>6</v>
      </c>
      <c r="B67" s="52">
        <f t="shared" si="28"/>
        <v>1128833.1136179173</v>
      </c>
      <c r="C67" s="52">
        <f t="shared" si="29"/>
        <v>1424024.211798606</v>
      </c>
      <c r="D67" s="52">
        <f t="shared" si="30"/>
        <v>55982.594853304174</v>
      </c>
      <c r="E67" s="52">
        <f t="shared" si="31"/>
        <v>6280.0796790656359</v>
      </c>
      <c r="F67" s="52">
        <f t="shared" si="32"/>
        <v>9307.2625553593134</v>
      </c>
      <c r="G67" s="52">
        <f t="shared" si="33"/>
        <v>16588.500633923952</v>
      </c>
      <c r="H67" s="59"/>
      <c r="I67" s="52">
        <f t="shared" si="34"/>
        <v>898153.20257418021</v>
      </c>
      <c r="J67" s="52">
        <f t="shared" si="35"/>
        <v>1133021.2508303495</v>
      </c>
      <c r="K67" s="52">
        <f t="shared" si="36"/>
        <v>44542.409546046372</v>
      </c>
      <c r="L67" s="52">
        <f t="shared" si="37"/>
        <v>4996.7294617147409</v>
      </c>
      <c r="M67" s="52">
        <f t="shared" si="38"/>
        <v>7405.2998361316259</v>
      </c>
      <c r="N67" s="52">
        <f t="shared" si="39"/>
        <v>13198.598438090799</v>
      </c>
      <c r="R67" s="1"/>
      <c r="S67" s="1"/>
      <c r="T67"/>
      <c r="U67"/>
    </row>
    <row r="68" spans="1:21" x14ac:dyDescent="0.25">
      <c r="A68" s="53">
        <v>7</v>
      </c>
      <c r="B68" s="51">
        <f t="shared" si="28"/>
        <v>1103889.6687761822</v>
      </c>
      <c r="C68" s="51">
        <f t="shared" si="29"/>
        <v>1396373.2562297005</v>
      </c>
      <c r="D68" s="51">
        <f t="shared" si="30"/>
        <v>54895.55417654098</v>
      </c>
      <c r="E68" s="51">
        <f t="shared" si="31"/>
        <v>6141.3108750797028</v>
      </c>
      <c r="F68" s="51">
        <f t="shared" si="32"/>
        <v>9101.6031116590002</v>
      </c>
      <c r="G68" s="51">
        <f t="shared" si="33"/>
        <v>16221.950126521469</v>
      </c>
      <c r="H68" s="59"/>
      <c r="I68" s="51">
        <f t="shared" si="34"/>
        <v>845473.10691224004</v>
      </c>
      <c r="J68" s="51">
        <f t="shared" si="35"/>
        <v>1069487.3489146286</v>
      </c>
      <c r="K68" s="51">
        <f t="shared" si="36"/>
        <v>42044.704337856849</v>
      </c>
      <c r="L68" s="51">
        <f t="shared" si="37"/>
        <v>4703.652305962768</v>
      </c>
      <c r="M68" s="51">
        <f t="shared" si="38"/>
        <v>6970.9508824623954</v>
      </c>
      <c r="N68" s="51">
        <f t="shared" si="39"/>
        <v>12424.450523982872</v>
      </c>
      <c r="R68" s="1"/>
      <c r="S68" s="1"/>
      <c r="T68"/>
      <c r="U68"/>
    </row>
    <row r="69" spans="1:21" x14ac:dyDescent="0.25">
      <c r="A69" s="66">
        <v>8</v>
      </c>
      <c r="B69" s="52">
        <f t="shared" si="28"/>
        <v>1082454.9179261595</v>
      </c>
      <c r="C69" s="52">
        <f t="shared" si="29"/>
        <v>1373010.6075219344</v>
      </c>
      <c r="D69" s="52">
        <f t="shared" si="30"/>
        <v>58510.457701885178</v>
      </c>
      <c r="E69" s="52">
        <f t="shared" si="31"/>
        <v>6022.062120223788</v>
      </c>
      <c r="F69" s="52">
        <f t="shared" si="32"/>
        <v>8924.8729541510602</v>
      </c>
      <c r="G69" s="52">
        <f t="shared" si="33"/>
        <v>15906.960803676395</v>
      </c>
      <c r="H69" s="59"/>
      <c r="I69" s="52">
        <f t="shared" si="34"/>
        <v>798063.39998258185</v>
      </c>
      <c r="J69" s="52">
        <f t="shared" si="35"/>
        <v>1012281.893226941</v>
      </c>
      <c r="K69" s="52">
        <f t="shared" si="36"/>
        <v>43138.105832218032</v>
      </c>
      <c r="L69" s="52">
        <f t="shared" si="37"/>
        <v>4439.8961018900909</v>
      </c>
      <c r="M69" s="52">
        <f t="shared" si="38"/>
        <v>6580.0564404551606</v>
      </c>
      <c r="N69" s="52">
        <f t="shared" si="39"/>
        <v>11727.752363759537</v>
      </c>
      <c r="R69" s="1"/>
      <c r="S69" s="1"/>
      <c r="T69"/>
      <c r="U69"/>
    </row>
    <row r="70" spans="1:21" x14ac:dyDescent="0.25">
      <c r="A70" s="53">
        <v>9</v>
      </c>
      <c r="B70" s="51">
        <f t="shared" si="28"/>
        <v>1061436.3758305055</v>
      </c>
      <c r="C70" s="51">
        <f t="shared" si="29"/>
        <v>1342671.654896708</v>
      </c>
      <c r="D70" s="51">
        <f t="shared" si="30"/>
        <v>57374.332309615551</v>
      </c>
      <c r="E70" s="51">
        <f t="shared" si="31"/>
        <v>5905.1288751708962</v>
      </c>
      <c r="F70" s="51">
        <f t="shared" si="32"/>
        <v>8751.5744501869594</v>
      </c>
      <c r="G70" s="51">
        <f t="shared" si="33"/>
        <v>15598.087778362285</v>
      </c>
      <c r="H70" s="59"/>
      <c r="I70" s="51">
        <f t="shared" si="34"/>
        <v>753312.18129196961</v>
      </c>
      <c r="J70" s="51">
        <f t="shared" si="35"/>
        <v>952907.71650608163</v>
      </c>
      <c r="K70" s="51">
        <f t="shared" si="36"/>
        <v>40719.146626673086</v>
      </c>
      <c r="L70" s="51">
        <f t="shared" si="37"/>
        <v>4190.9299653355047</v>
      </c>
      <c r="M70" s="51">
        <f t="shared" si="38"/>
        <v>6211.0813129529997</v>
      </c>
      <c r="N70" s="51">
        <f t="shared" si="39"/>
        <v>11070.121390090775</v>
      </c>
      <c r="R70" s="1"/>
      <c r="S70" s="1"/>
      <c r="T70"/>
      <c r="U70"/>
    </row>
    <row r="71" spans="1:21" x14ac:dyDescent="0.25">
      <c r="A71" s="66">
        <v>10</v>
      </c>
      <c r="B71" s="52">
        <f t="shared" si="28"/>
        <v>1043677.5387405365</v>
      </c>
      <c r="C71" s="52">
        <f t="shared" si="29"/>
        <v>1316600.3606268689</v>
      </c>
      <c r="D71" s="52">
        <f t="shared" si="30"/>
        <v>56260.267604574467</v>
      </c>
      <c r="E71" s="52">
        <f t="shared" si="31"/>
        <v>5806.3304694658163</v>
      </c>
      <c r="F71" s="52">
        <f t="shared" si="32"/>
        <v>8605.1523108288638</v>
      </c>
      <c r="G71" s="52">
        <f t="shared" si="33"/>
        <v>15337.116978718987</v>
      </c>
      <c r="H71" s="59"/>
      <c r="I71" s="52">
        <f t="shared" si="34"/>
        <v>713018.51475198951</v>
      </c>
      <c r="J71" s="52">
        <f t="shared" si="35"/>
        <v>899473.63894499291</v>
      </c>
      <c r="K71" s="52">
        <f t="shared" si="36"/>
        <v>38435.829993401698</v>
      </c>
      <c r="L71" s="52">
        <f t="shared" si="37"/>
        <v>3966.7626961616256</v>
      </c>
      <c r="M71" s="52">
        <f t="shared" si="38"/>
        <v>5878.8588353506748</v>
      </c>
      <c r="N71" s="52">
        <f t="shared" si="39"/>
        <v>10477.995322137898</v>
      </c>
      <c r="R71" s="1"/>
      <c r="S71" s="1"/>
      <c r="T71"/>
      <c r="U71"/>
    </row>
    <row r="72" spans="1:21" x14ac:dyDescent="0.25">
      <c r="A72" s="53">
        <v>11</v>
      </c>
      <c r="B72" s="51">
        <f t="shared" si="28"/>
        <v>1020615.7479354311</v>
      </c>
      <c r="C72" s="51">
        <f t="shared" si="29"/>
        <v>1291035.305080716</v>
      </c>
      <c r="D72" s="51">
        <f t="shared" si="30"/>
        <v>55167.83522390313</v>
      </c>
      <c r="E72" s="51">
        <f t="shared" si="31"/>
        <v>5678.0299420886349</v>
      </c>
      <c r="F72" s="51">
        <f t="shared" si="32"/>
        <v>8415.0071605577505</v>
      </c>
      <c r="G72" s="51">
        <f t="shared" si="33"/>
        <v>14998.21787417039</v>
      </c>
      <c r="H72" s="59"/>
      <c r="I72" s="51">
        <f t="shared" si="34"/>
        <v>671197.27149614657</v>
      </c>
      <c r="J72" s="51">
        <f t="shared" si="35"/>
        <v>849035.86479854467</v>
      </c>
      <c r="K72" s="51">
        <f t="shared" si="36"/>
        <v>36280.549806855815</v>
      </c>
      <c r="L72" s="51">
        <f t="shared" si="37"/>
        <v>3734.0970020427544</v>
      </c>
      <c r="M72" s="51">
        <f t="shared" si="38"/>
        <v>5534.0414423472412</v>
      </c>
      <c r="N72" s="51">
        <f t="shared" si="39"/>
        <v>9863.4211110416618</v>
      </c>
      <c r="R72" s="1"/>
      <c r="S72" s="1"/>
      <c r="T72"/>
      <c r="U72"/>
    </row>
    <row r="73" spans="1:21" x14ac:dyDescent="0.25">
      <c r="A73" s="66">
        <v>12</v>
      </c>
      <c r="B73" s="52">
        <f t="shared" si="28"/>
        <v>1000797.966422122</v>
      </c>
      <c r="C73" s="52">
        <f t="shared" si="29"/>
        <v>1269435.0601839013</v>
      </c>
      <c r="D73" s="52">
        <f t="shared" si="30"/>
        <v>54096.615122468131</v>
      </c>
      <c r="E73" s="52">
        <f t="shared" si="31"/>
        <v>5567.7769335043913</v>
      </c>
      <c r="F73" s="52">
        <f t="shared" si="32"/>
        <v>8251.6089632653693</v>
      </c>
      <c r="G73" s="52">
        <f t="shared" si="33"/>
        <v>14706.990342633106</v>
      </c>
      <c r="H73" s="59"/>
      <c r="I73" s="52">
        <f t="shared" si="34"/>
        <v>633560.04131879273</v>
      </c>
      <c r="J73" s="52">
        <f t="shared" si="35"/>
        <v>803622.0657570865</v>
      </c>
      <c r="K73" s="52">
        <f t="shared" si="36"/>
        <v>34246.126453200355</v>
      </c>
      <c r="L73" s="52">
        <f t="shared" si="37"/>
        <v>3524.7083851057787</v>
      </c>
      <c r="M73" s="52">
        <f t="shared" si="38"/>
        <v>5223.7213614679576</v>
      </c>
      <c r="N73" s="52">
        <f t="shared" si="39"/>
        <v>9310.3320767776459</v>
      </c>
      <c r="R73" s="1"/>
      <c r="S73" s="1"/>
      <c r="T73"/>
      <c r="U73"/>
    </row>
    <row r="74" spans="1:21" x14ac:dyDescent="0.25">
      <c r="A74" s="53">
        <v>13</v>
      </c>
      <c r="B74" s="51">
        <f t="shared" si="28"/>
        <v>981364.996200333</v>
      </c>
      <c r="C74" s="51">
        <f t="shared" si="29"/>
        <v>1241384.7815183697</v>
      </c>
      <c r="D74" s="51">
        <f t="shared" si="30"/>
        <v>58350.814952487453</v>
      </c>
      <c r="E74" s="51">
        <f t="shared" si="31"/>
        <v>5459.6647600382848</v>
      </c>
      <c r="F74" s="51">
        <f t="shared" si="32"/>
        <v>8091.3835465029324</v>
      </c>
      <c r="G74" s="51">
        <f t="shared" si="33"/>
        <v>14421.417714620811</v>
      </c>
      <c r="H74" s="59"/>
      <c r="I74" s="51">
        <f t="shared" si="34"/>
        <v>598033.31002988818</v>
      </c>
      <c r="J74" s="51">
        <f t="shared" si="35"/>
        <v>756486.58020874788</v>
      </c>
      <c r="K74" s="51">
        <f t="shared" si="36"/>
        <v>35558.361205145404</v>
      </c>
      <c r="L74" s="51">
        <f t="shared" si="37"/>
        <v>3327.0611859409678</v>
      </c>
      <c r="M74" s="51">
        <f t="shared" si="38"/>
        <v>4930.8024066192856</v>
      </c>
      <c r="N74" s="51">
        <f t="shared" si="39"/>
        <v>8788.2573808835732</v>
      </c>
      <c r="R74" s="1"/>
      <c r="S74" s="1"/>
      <c r="T74"/>
      <c r="U74"/>
    </row>
    <row r="75" spans="1:21" x14ac:dyDescent="0.25">
      <c r="A75" s="66">
        <v>14</v>
      </c>
      <c r="B75" s="52">
        <f t="shared" si="28"/>
        <v>964945.82922041533</v>
      </c>
      <c r="C75" s="52">
        <f t="shared" si="29"/>
        <v>1217280.2226539357</v>
      </c>
      <c r="D75" s="52">
        <f t="shared" si="30"/>
        <v>57217.789419429449</v>
      </c>
      <c r="E75" s="52">
        <f t="shared" si="31"/>
        <v>5368.3193913971345</v>
      </c>
      <c r="F75" s="52">
        <f t="shared" si="32"/>
        <v>7956.007026999001</v>
      </c>
      <c r="G75" s="52">
        <f t="shared" si="33"/>
        <v>14180.133720938235</v>
      </c>
      <c r="H75" s="59"/>
      <c r="I75" s="52">
        <f t="shared" si="34"/>
        <v>566045.30376558332</v>
      </c>
      <c r="J75" s="52">
        <f t="shared" si="35"/>
        <v>714066.77197274345</v>
      </c>
      <c r="K75" s="52">
        <f t="shared" si="36"/>
        <v>33564.434408595196</v>
      </c>
      <c r="L75" s="52">
        <f t="shared" si="37"/>
        <v>3149.1011086799085</v>
      </c>
      <c r="M75" s="52">
        <f t="shared" si="38"/>
        <v>4667.0603447212525</v>
      </c>
      <c r="N75" s="52">
        <f t="shared" si="39"/>
        <v>8318.1851835038324</v>
      </c>
      <c r="R75" s="1"/>
      <c r="S75" s="1"/>
      <c r="T75"/>
      <c r="U75"/>
    </row>
    <row r="76" spans="1:21" x14ac:dyDescent="0.25">
      <c r="A76" s="53">
        <v>15</v>
      </c>
      <c r="B76" s="51">
        <f t="shared" si="28"/>
        <v>943623.74646428507</v>
      </c>
      <c r="C76" s="51">
        <f t="shared" si="29"/>
        <v>1193643.7134761896</v>
      </c>
      <c r="D76" s="51">
        <f t="shared" si="30"/>
        <v>56106.764382158981</v>
      </c>
      <c r="E76" s="51">
        <f t="shared" si="31"/>
        <v>5249.6974471816902</v>
      </c>
      <c r="F76" s="51">
        <f t="shared" si="32"/>
        <v>7780.2058212721686</v>
      </c>
      <c r="G76" s="51">
        <f t="shared" si="33"/>
        <v>13866.800085479023</v>
      </c>
      <c r="H76" s="59"/>
      <c r="I76" s="51">
        <f t="shared" si="34"/>
        <v>532844.59739845339</v>
      </c>
      <c r="J76" s="51">
        <f t="shared" si="35"/>
        <v>674025.64457240282</v>
      </c>
      <c r="K76" s="51">
        <f t="shared" si="36"/>
        <v>31682.316591290797</v>
      </c>
      <c r="L76" s="51">
        <f t="shared" si="37"/>
        <v>2964.3943713672647</v>
      </c>
      <c r="M76" s="51">
        <f t="shared" si="38"/>
        <v>4393.319534450462</v>
      </c>
      <c r="N76" s="51">
        <f t="shared" si="39"/>
        <v>7830.2920379415973</v>
      </c>
      <c r="R76" s="1"/>
      <c r="S76" s="1"/>
      <c r="T76"/>
      <c r="U76"/>
    </row>
    <row r="77" spans="1:21" x14ac:dyDescent="0.25">
      <c r="A77" s="66">
        <v>16</v>
      </c>
      <c r="B77" s="52">
        <f t="shared" si="28"/>
        <v>925300.95527080365</v>
      </c>
      <c r="C77" s="52">
        <f t="shared" si="29"/>
        <v>1173672.9222598968</v>
      </c>
      <c r="D77" s="52">
        <f t="shared" si="30"/>
        <v>55017.312646583079</v>
      </c>
      <c r="E77" s="52">
        <f t="shared" si="31"/>
        <v>5147.7615744208806</v>
      </c>
      <c r="F77" s="52">
        <f t="shared" si="32"/>
        <v>7629.1338635775655</v>
      </c>
      <c r="G77" s="52">
        <f t="shared" si="33"/>
        <v>13597.541831392049</v>
      </c>
      <c r="H77" s="59"/>
      <c r="I77" s="52">
        <f t="shared" si="34"/>
        <v>502965.46109573625</v>
      </c>
      <c r="J77" s="52">
        <f t="shared" si="35"/>
        <v>637972.90941655217</v>
      </c>
      <c r="K77" s="52">
        <f t="shared" si="36"/>
        <v>29905.738090844588</v>
      </c>
      <c r="L77" s="52">
        <f t="shared" si="37"/>
        <v>2798.1666496083531</v>
      </c>
      <c r="M77" s="52">
        <f t="shared" si="38"/>
        <v>4146.9651680326815</v>
      </c>
      <c r="N77" s="52">
        <f t="shared" si="39"/>
        <v>7391.2102414215078</v>
      </c>
      <c r="R77" s="1"/>
      <c r="S77" s="1"/>
      <c r="T77"/>
      <c r="U77"/>
    </row>
    <row r="78" spans="1:21" x14ac:dyDescent="0.25">
      <c r="A78" s="53">
        <v>17</v>
      </c>
      <c r="B78" s="51">
        <f t="shared" si="28"/>
        <v>907333.94643059396</v>
      </c>
      <c r="C78" s="51">
        <f t="shared" si="29"/>
        <v>1147738.6672797254</v>
      </c>
      <c r="D78" s="51">
        <f t="shared" si="30"/>
        <v>53949.015313639706</v>
      </c>
      <c r="E78" s="51">
        <f t="shared" si="31"/>
        <v>5047.8050389952323</v>
      </c>
      <c r="F78" s="51">
        <f t="shared" si="32"/>
        <v>7480.9953419547001</v>
      </c>
      <c r="G78" s="51">
        <f t="shared" si="33"/>
        <v>13333.511892918417</v>
      </c>
      <c r="H78" s="59"/>
      <c r="I78" s="51">
        <f t="shared" si="34"/>
        <v>474761.79038008751</v>
      </c>
      <c r="J78" s="51">
        <f t="shared" si="35"/>
        <v>600553.3758654102</v>
      </c>
      <c r="K78" s="51">
        <f t="shared" si="36"/>
        <v>28228.78081472246</v>
      </c>
      <c r="L78" s="51">
        <f t="shared" si="37"/>
        <v>2641.2601085088195</v>
      </c>
      <c r="M78" s="51">
        <f t="shared" si="38"/>
        <v>3914.4250651523439</v>
      </c>
      <c r="N78" s="51">
        <f t="shared" si="39"/>
        <v>6976.7498540520783</v>
      </c>
      <c r="R78" s="1"/>
      <c r="S78" s="1"/>
      <c r="T78"/>
      <c r="U78"/>
    </row>
    <row r="79" spans="1:21" x14ac:dyDescent="0.25">
      <c r="A79" s="66">
        <v>18</v>
      </c>
      <c r="B79" s="52">
        <f t="shared" si="28"/>
        <v>892153.3891143325</v>
      </c>
      <c r="C79" s="52">
        <f t="shared" si="29"/>
        <v>1125452.4795655564</v>
      </c>
      <c r="D79" s="52">
        <f t="shared" si="30"/>
        <v>57710.685401704621</v>
      </c>
      <c r="E79" s="52">
        <f t="shared" si="31"/>
        <v>4963.3504740390426</v>
      </c>
      <c r="F79" s="52">
        <f t="shared" si="32"/>
        <v>7355.831195922261</v>
      </c>
      <c r="G79" s="52">
        <f t="shared" si="33"/>
        <v>13110.429595255278</v>
      </c>
      <c r="H79" s="59"/>
      <c r="I79" s="52">
        <f t="shared" si="34"/>
        <v>449367.413729108</v>
      </c>
      <c r="J79" s="52">
        <f t="shared" si="35"/>
        <v>566877.48562996683</v>
      </c>
      <c r="K79" s="52">
        <f t="shared" si="36"/>
        <v>29068.209301141571</v>
      </c>
      <c r="L79" s="52">
        <f t="shared" si="37"/>
        <v>2499.9826186438881</v>
      </c>
      <c r="M79" s="52">
        <f t="shared" si="38"/>
        <v>3705.0476752892469</v>
      </c>
      <c r="N79" s="52">
        <f t="shared" si="39"/>
        <v>6603.5727846598165</v>
      </c>
      <c r="R79" s="1"/>
      <c r="S79" s="1"/>
      <c r="T79"/>
      <c r="U79"/>
    </row>
    <row r="80" spans="1:21" x14ac:dyDescent="0.25">
      <c r="A80" s="53">
        <v>19</v>
      </c>
      <c r="B80" s="51">
        <f t="shared" si="28"/>
        <v>872439.77637274843</v>
      </c>
      <c r="C80" s="51">
        <f t="shared" si="29"/>
        <v>1103599.0333603998</v>
      </c>
      <c r="D80" s="51">
        <f t="shared" si="30"/>
        <v>56590.089568661802</v>
      </c>
      <c r="E80" s="51">
        <f t="shared" si="31"/>
        <v>4853.6769914968772</v>
      </c>
      <c r="F80" s="51">
        <f t="shared" si="32"/>
        <v>7193.2918732472317</v>
      </c>
      <c r="G80" s="51">
        <f t="shared" si="33"/>
        <v>12820.73285132065</v>
      </c>
      <c r="H80" s="59"/>
      <c r="I80" s="51">
        <f t="shared" si="34"/>
        <v>423010.30864418484</v>
      </c>
      <c r="J80" s="51">
        <f t="shared" si="35"/>
        <v>535089.96307127702</v>
      </c>
      <c r="K80" s="51">
        <f t="shared" si="36"/>
        <v>27438.21625621774</v>
      </c>
      <c r="L80" s="51">
        <f t="shared" si="37"/>
        <v>2353.3491455060243</v>
      </c>
      <c r="M80" s="51">
        <f t="shared" si="38"/>
        <v>3487.7325608890783</v>
      </c>
      <c r="N80" s="51">
        <f t="shared" si="39"/>
        <v>6216.248166755634</v>
      </c>
      <c r="R80" s="1"/>
      <c r="S80" s="1"/>
      <c r="T80"/>
      <c r="U80"/>
    </row>
    <row r="81" spans="1:21" x14ac:dyDescent="0.25">
      <c r="A81" s="66">
        <v>20</v>
      </c>
      <c r="B81" s="52">
        <f t="shared" si="28"/>
        <v>855499.19819075346</v>
      </c>
      <c r="C81" s="52">
        <f t="shared" si="29"/>
        <v>1082169.9259165085</v>
      </c>
      <c r="D81" s="52">
        <f t="shared" si="30"/>
        <v>55491.252878008192</v>
      </c>
      <c r="E81" s="52">
        <f t="shared" si="31"/>
        <v>4759.4308363221817</v>
      </c>
      <c r="F81" s="52">
        <f t="shared" si="32"/>
        <v>7053.6163028929177</v>
      </c>
      <c r="G81" s="52">
        <f t="shared" si="33"/>
        <v>12571.786582362967</v>
      </c>
      <c r="H81" s="59"/>
      <c r="I81" s="52">
        <f t="shared" si="34"/>
        <v>399290.10442114651</v>
      </c>
      <c r="J81" s="52">
        <f t="shared" si="35"/>
        <v>505084.91841307457</v>
      </c>
      <c r="K81" s="52">
        <f t="shared" si="36"/>
        <v>25899.624690448527</v>
      </c>
      <c r="L81" s="52">
        <f t="shared" si="37"/>
        <v>2221.3856420197053</v>
      </c>
      <c r="M81" s="52">
        <f t="shared" si="38"/>
        <v>3292.1587724280089</v>
      </c>
      <c r="N81" s="52">
        <f t="shared" si="39"/>
        <v>5867.673503199243</v>
      </c>
      <c r="R81" s="1"/>
      <c r="S81" s="1"/>
      <c r="T81"/>
      <c r="U81"/>
    </row>
    <row r="82" spans="1:21" x14ac:dyDescent="0.25">
      <c r="A82" s="53"/>
      <c r="B82" s="61"/>
      <c r="C82" s="61"/>
      <c r="D82" s="61"/>
      <c r="E82" s="61"/>
      <c r="F82" s="61"/>
      <c r="G82" s="61"/>
      <c r="H82" s="59"/>
      <c r="I82" s="61"/>
      <c r="J82" s="61"/>
      <c r="K82" s="61"/>
      <c r="L82" s="61"/>
      <c r="M82" s="61"/>
      <c r="N82" s="61"/>
      <c r="R82" s="1"/>
      <c r="S82" s="1"/>
      <c r="T82"/>
      <c r="U82"/>
    </row>
    <row r="83" spans="1:21" x14ac:dyDescent="0.25">
      <c r="A83" s="66"/>
      <c r="B83" s="96"/>
      <c r="C83" s="96"/>
      <c r="D83" s="96"/>
      <c r="E83" s="96"/>
      <c r="F83" s="96"/>
      <c r="G83" s="96"/>
      <c r="H83" s="59"/>
      <c r="I83" s="96"/>
      <c r="J83" s="96"/>
      <c r="K83" s="96"/>
      <c r="L83" s="96"/>
      <c r="M83" s="96"/>
      <c r="N83" s="96"/>
      <c r="R83" s="1"/>
      <c r="S83" s="1"/>
      <c r="T83"/>
      <c r="U83"/>
    </row>
    <row r="84" spans="1:21" ht="15.75" thickBot="1" x14ac:dyDescent="0.3">
      <c r="A84" s="54"/>
      <c r="B84" s="62">
        <f t="shared" ref="B84:G84" si="40">SUM(B62:B81)</f>
        <v>20759788.958541207</v>
      </c>
      <c r="C84" s="62">
        <f>SUM(C62:C81)</f>
        <v>26256583.126155172</v>
      </c>
      <c r="D84" s="62">
        <f t="shared" si="40"/>
        <v>1129073.7052656785</v>
      </c>
      <c r="E84" s="62">
        <f t="shared" si="40"/>
        <v>115493.71400204508</v>
      </c>
      <c r="F84" s="62">
        <f t="shared" si="40"/>
        <v>171165.0766619799</v>
      </c>
      <c r="G84" s="62">
        <f t="shared" si="40"/>
        <v>305070.57964942942</v>
      </c>
      <c r="H84" s="59"/>
      <c r="I84" s="62">
        <f t="shared" ref="I84:N84" si="41">SUM(I62:I81)</f>
        <v>14604935.081609515</v>
      </c>
      <c r="J84" s="62">
        <f t="shared" si="41"/>
        <v>18471819.173983548</v>
      </c>
      <c r="K84" s="62">
        <f t="shared" si="41"/>
        <v>776395.43592864869</v>
      </c>
      <c r="L84" s="62">
        <f t="shared" si="41"/>
        <v>81252.184148040338</v>
      </c>
      <c r="M84" s="62">
        <f t="shared" si="41"/>
        <v>120418.12360806382</v>
      </c>
      <c r="N84" s="62">
        <f t="shared" si="41"/>
        <v>214623.3769518047</v>
      </c>
      <c r="R84" s="1"/>
      <c r="S84" s="1"/>
      <c r="T84"/>
      <c r="U84"/>
    </row>
    <row r="85" spans="1:21" ht="15.75" thickTop="1" x14ac:dyDescent="0.25"/>
  </sheetData>
  <mergeCells count="2">
    <mergeCell ref="A60:G60"/>
    <mergeCell ref="I60:N60"/>
  </mergeCells>
  <hyperlinks>
    <hyperlink ref="A57" r:id="rId1" xr:uid="{00000000-0004-0000-0000-000000000000}"/>
  </hyperlinks>
  <pageMargins left="0.7" right="0.7" top="0.75" bottom="0.75" header="0.3" footer="0.3"/>
  <pageSetup scale="3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80"/>
  <sheetViews>
    <sheetView workbookViewId="0">
      <pane ySplit="3" topLeftCell="A4" activePane="bottomLeft" state="frozen"/>
      <selection pane="bottomLeft" activeCell="F19" sqref="F19"/>
    </sheetView>
  </sheetViews>
  <sheetFormatPr defaultRowHeight="15" x14ac:dyDescent="0.25"/>
  <cols>
    <col min="1" max="1" width="12.5703125" style="1" customWidth="1"/>
    <col min="2" max="3" width="12.5703125" customWidth="1"/>
    <col min="4" max="4" width="15.5703125" customWidth="1"/>
    <col min="5" max="5" width="14" bestFit="1" customWidth="1"/>
    <col min="6" max="6" width="11.140625" bestFit="1" customWidth="1"/>
    <col min="7" max="7" width="10.85546875" customWidth="1"/>
    <col min="8" max="8" width="17.42578125" customWidth="1"/>
    <col min="9" max="9" width="13.85546875" bestFit="1" customWidth="1"/>
    <col min="10" max="10" width="17.5703125" customWidth="1"/>
    <col min="11" max="11" width="10.5703125" bestFit="1" customWidth="1"/>
    <col min="19" max="19" width="10.85546875" customWidth="1"/>
    <col min="20" max="20" width="12" customWidth="1"/>
    <col min="21" max="21" width="11.5703125" customWidth="1"/>
  </cols>
  <sheetData>
    <row r="1" spans="1:17" ht="15.75" x14ac:dyDescent="0.25">
      <c r="A1" s="105" t="s">
        <v>89</v>
      </c>
    </row>
    <row r="3" spans="1:17" s="2" customFormat="1" ht="60" x14ac:dyDescent="0.25">
      <c r="A3" s="92" t="s">
        <v>44</v>
      </c>
      <c r="B3" s="92" t="s">
        <v>0</v>
      </c>
      <c r="C3" s="92" t="s">
        <v>2</v>
      </c>
      <c r="D3" s="92" t="s">
        <v>183</v>
      </c>
      <c r="E3" s="92" t="s">
        <v>193</v>
      </c>
      <c r="F3" s="92" t="s">
        <v>19</v>
      </c>
      <c r="G3" s="92" t="s">
        <v>20</v>
      </c>
    </row>
    <row r="4" spans="1:17" s="1" customFormat="1" x14ac:dyDescent="0.25">
      <c r="A4" s="66">
        <v>0</v>
      </c>
      <c r="B4" s="66">
        <v>2018</v>
      </c>
      <c r="C4" s="43">
        <v>1014</v>
      </c>
      <c r="D4" s="89">
        <v>2.5999999999999999E-2</v>
      </c>
      <c r="E4" s="67">
        <v>0</v>
      </c>
      <c r="F4" s="67">
        <f>E4/1.03^(A4)</f>
        <v>0</v>
      </c>
      <c r="G4" s="67">
        <f>E4/1.07^(A4)</f>
        <v>0</v>
      </c>
    </row>
    <row r="5" spans="1:17" x14ac:dyDescent="0.25">
      <c r="A5" s="53">
        <v>0</v>
      </c>
      <c r="B5" s="53">
        <v>2019</v>
      </c>
      <c r="C5" s="47">
        <f>$C$4*1.01^(B5-$B$4)</f>
        <v>1024.1400000000001</v>
      </c>
      <c r="D5" s="90">
        <v>2.5999999999999999E-2</v>
      </c>
      <c r="E5" s="64">
        <v>0</v>
      </c>
      <c r="F5" s="64">
        <f t="shared" ref="F5:F8" si="0">E5/1.03^(A5)</f>
        <v>0</v>
      </c>
      <c r="G5" s="64">
        <f t="shared" ref="G5:G8" si="1">E5/1.07^(A5)</f>
        <v>0</v>
      </c>
      <c r="H5" s="1"/>
      <c r="Q5" s="16"/>
    </row>
    <row r="6" spans="1:17" x14ac:dyDescent="0.25">
      <c r="A6" s="66">
        <v>0</v>
      </c>
      <c r="B6" s="66">
        <v>2020</v>
      </c>
      <c r="C6" s="43">
        <v>1014</v>
      </c>
      <c r="D6" s="89">
        <v>2.5999999999999999E-2</v>
      </c>
      <c r="E6" s="67">
        <v>0</v>
      </c>
      <c r="F6" s="67">
        <f t="shared" si="0"/>
        <v>0</v>
      </c>
      <c r="G6" s="67">
        <f t="shared" si="1"/>
        <v>0</v>
      </c>
      <c r="H6" s="1"/>
      <c r="Q6" s="16"/>
    </row>
    <row r="7" spans="1:17" x14ac:dyDescent="0.25">
      <c r="A7" s="53">
        <v>0</v>
      </c>
      <c r="B7" s="53">
        <v>2021</v>
      </c>
      <c r="C7" s="47">
        <f>$C$4*1.01^(B7-$B$4)</f>
        <v>1044.7252139999998</v>
      </c>
      <c r="D7" s="90">
        <v>2.5999999999999999E-2</v>
      </c>
      <c r="E7" s="64">
        <v>0</v>
      </c>
      <c r="F7" s="64">
        <f t="shared" si="0"/>
        <v>0</v>
      </c>
      <c r="G7" s="64">
        <f t="shared" si="1"/>
        <v>0</v>
      </c>
      <c r="H7" s="1"/>
      <c r="Q7" s="16"/>
    </row>
    <row r="8" spans="1:17" x14ac:dyDescent="0.25">
      <c r="A8" s="66">
        <v>0</v>
      </c>
      <c r="B8" s="66">
        <v>2022</v>
      </c>
      <c r="C8" s="43">
        <f>$C$4*1.01^(B8-$B$4)</f>
        <v>1055.1724661400001</v>
      </c>
      <c r="D8" s="89">
        <v>2.5999999999999999E-2</v>
      </c>
      <c r="E8" s="67">
        <v>0</v>
      </c>
      <c r="F8" s="67">
        <f t="shared" si="0"/>
        <v>0</v>
      </c>
      <c r="G8" s="67">
        <f t="shared" si="1"/>
        <v>0</v>
      </c>
      <c r="H8" s="1"/>
      <c r="Q8" s="16"/>
    </row>
    <row r="9" spans="1:17" x14ac:dyDescent="0.25">
      <c r="A9" s="53">
        <v>1</v>
      </c>
      <c r="B9" s="53">
        <v>2023</v>
      </c>
      <c r="C9" s="47">
        <f>$C$4*1.01^(B9-$B$4)</f>
        <v>1065.7241908014</v>
      </c>
      <c r="D9" s="90">
        <v>2.5999999999999999E-2</v>
      </c>
      <c r="E9" s="64">
        <v>4623</v>
      </c>
      <c r="F9" s="64">
        <f>E9*D9*C9/1.03^(A9)</f>
        <v>124366.9090154822</v>
      </c>
      <c r="G9" s="64">
        <f>E9*D9*C9/1.07^(A9)</f>
        <v>119717.67877191278</v>
      </c>
      <c r="H9" s="1"/>
      <c r="Q9" s="16"/>
    </row>
    <row r="10" spans="1:17" x14ac:dyDescent="0.25">
      <c r="A10" s="66">
        <v>2</v>
      </c>
      <c r="B10" s="66">
        <v>2024</v>
      </c>
      <c r="C10" s="43">
        <f>$C$4*1.01^(B10-$B$4)</f>
        <v>1076.3814327094142</v>
      </c>
      <c r="D10" s="89">
        <v>2.5999999999999999E-2</v>
      </c>
      <c r="E10" s="67">
        <f t="shared" ref="E10:E28" si="2">E9</f>
        <v>4623</v>
      </c>
      <c r="F10" s="67">
        <f>E10*D10*C10/1.03^(A10)</f>
        <v>121952.0175782884</v>
      </c>
      <c r="G10" s="67">
        <f>E10*D10*C10/1.07^(A10)</f>
        <v>113004.53790619805</v>
      </c>
      <c r="H10" s="1"/>
      <c r="Q10" s="16"/>
    </row>
    <row r="11" spans="1:17" x14ac:dyDescent="0.25">
      <c r="A11" s="53">
        <v>3</v>
      </c>
      <c r="B11" s="53">
        <v>2025</v>
      </c>
      <c r="C11" s="47">
        <f t="shared" ref="C11:C28" si="3">$C$5*1.01^(B11-$B$5)</f>
        <v>1087.1452470365084</v>
      </c>
      <c r="D11" s="90">
        <v>2.5999999999999999E-2</v>
      </c>
      <c r="E11" s="64">
        <f t="shared" si="2"/>
        <v>4623</v>
      </c>
      <c r="F11" s="64">
        <f t="shared" ref="F11:F28" si="4">E11*D11*C11/1.03^(A11)</f>
        <v>119584.01723696242</v>
      </c>
      <c r="G11" s="64">
        <f t="shared" ref="G11:G28" si="5">E11*D11*C11/1.07^(A11)</f>
        <v>106667.83484603743</v>
      </c>
      <c r="H11" s="1"/>
      <c r="Q11" s="16"/>
    </row>
    <row r="12" spans="1:17" x14ac:dyDescent="0.25">
      <c r="A12" s="66">
        <v>4</v>
      </c>
      <c r="B12" s="66">
        <v>2026</v>
      </c>
      <c r="C12" s="43">
        <f t="shared" si="3"/>
        <v>1098.0166995068732</v>
      </c>
      <c r="D12" s="89">
        <v>2.5999999999999999E-2</v>
      </c>
      <c r="E12" s="67">
        <f t="shared" si="2"/>
        <v>4623</v>
      </c>
      <c r="F12" s="67">
        <f t="shared" si="4"/>
        <v>117261.99748478837</v>
      </c>
      <c r="G12" s="67">
        <f t="shared" si="5"/>
        <v>100686.46092943718</v>
      </c>
      <c r="H12" s="1"/>
      <c r="Q12" s="16"/>
    </row>
    <row r="13" spans="1:17" x14ac:dyDescent="0.25">
      <c r="A13" s="53">
        <v>5</v>
      </c>
      <c r="B13" s="53">
        <v>2027</v>
      </c>
      <c r="C13" s="47">
        <f t="shared" si="3"/>
        <v>1108.9968665019421</v>
      </c>
      <c r="D13" s="90">
        <v>2.5999999999999999E-2</v>
      </c>
      <c r="E13" s="64">
        <f t="shared" si="2"/>
        <v>4623</v>
      </c>
      <c r="F13" s="64">
        <f t="shared" si="4"/>
        <v>114985.06549479249</v>
      </c>
      <c r="G13" s="64">
        <f t="shared" si="5"/>
        <v>95040.491157693032</v>
      </c>
      <c r="H13" s="1"/>
      <c r="Q13" s="16"/>
    </row>
    <row r="14" spans="1:17" x14ac:dyDescent="0.25">
      <c r="A14" s="66">
        <v>6</v>
      </c>
      <c r="B14" s="66">
        <v>2028</v>
      </c>
      <c r="C14" s="43">
        <f t="shared" si="3"/>
        <v>1120.0868351669617</v>
      </c>
      <c r="D14" s="89">
        <v>2.5999999999999999E-2</v>
      </c>
      <c r="E14" s="67">
        <f t="shared" si="2"/>
        <v>4623</v>
      </c>
      <c r="F14" s="67">
        <f t="shared" si="4"/>
        <v>112752.34577644702</v>
      </c>
      <c r="G14" s="67">
        <f t="shared" si="5"/>
        <v>89711.117821747655</v>
      </c>
      <c r="H14" s="1"/>
      <c r="Q14" s="16"/>
    </row>
    <row r="15" spans="1:17" x14ac:dyDescent="0.25">
      <c r="A15" s="53">
        <v>7</v>
      </c>
      <c r="B15" s="53">
        <v>2029</v>
      </c>
      <c r="C15" s="47">
        <f t="shared" si="3"/>
        <v>1131.2877035186314</v>
      </c>
      <c r="D15" s="90">
        <v>2.5999999999999999E-2</v>
      </c>
      <c r="E15" s="64">
        <f t="shared" si="2"/>
        <v>4623</v>
      </c>
      <c r="F15" s="64">
        <f t="shared" si="4"/>
        <v>110562.97983904027</v>
      </c>
      <c r="G15" s="64">
        <f t="shared" si="5"/>
        <v>84680.587850434691</v>
      </c>
      <c r="H15" s="1"/>
      <c r="Q15" s="16"/>
    </row>
    <row r="16" spans="1:17" x14ac:dyDescent="0.25">
      <c r="A16" s="66">
        <v>8</v>
      </c>
      <c r="B16" s="66">
        <v>2030</v>
      </c>
      <c r="C16" s="43">
        <f t="shared" si="3"/>
        <v>1142.6005805538175</v>
      </c>
      <c r="D16" s="89">
        <v>2.5999999999999999E-2</v>
      </c>
      <c r="E16" s="67">
        <f t="shared" si="2"/>
        <v>4623</v>
      </c>
      <c r="F16" s="67">
        <f t="shared" si="4"/>
        <v>108416.12586158319</v>
      </c>
      <c r="G16" s="67">
        <f t="shared" si="5"/>
        <v>79932.143671905636</v>
      </c>
      <c r="H16" s="1"/>
      <c r="Q16" s="16"/>
    </row>
    <row r="17" spans="1:17" x14ac:dyDescent="0.25">
      <c r="A17" s="53">
        <v>9</v>
      </c>
      <c r="B17" s="53">
        <v>2031</v>
      </c>
      <c r="C17" s="47">
        <f t="shared" si="3"/>
        <v>1154.0265863593556</v>
      </c>
      <c r="D17" s="90">
        <v>2.5999999999999999E-2</v>
      </c>
      <c r="E17" s="64">
        <f t="shared" si="2"/>
        <v>4623</v>
      </c>
      <c r="F17" s="64">
        <f t="shared" si="4"/>
        <v>106310.95836912525</v>
      </c>
      <c r="G17" s="64">
        <f t="shared" si="5"/>
        <v>75449.967391238009</v>
      </c>
      <c r="H17" s="1"/>
      <c r="Q17" s="16"/>
    </row>
    <row r="18" spans="1:17" x14ac:dyDescent="0.25">
      <c r="A18" s="66">
        <v>10</v>
      </c>
      <c r="B18" s="66">
        <v>2032</v>
      </c>
      <c r="C18" s="43">
        <f t="shared" si="3"/>
        <v>1165.5668522229491</v>
      </c>
      <c r="D18" s="89">
        <v>2.5999999999999999E-2</v>
      </c>
      <c r="E18" s="67">
        <f t="shared" si="2"/>
        <v>4623</v>
      </c>
      <c r="F18" s="67">
        <f t="shared" si="4"/>
        <v>104246.66791535582</v>
      </c>
      <c r="G18" s="67">
        <f t="shared" si="5"/>
        <v>71219.128098271409</v>
      </c>
      <c r="H18" s="1"/>
      <c r="Q18" s="16"/>
    </row>
    <row r="19" spans="1:17" x14ac:dyDescent="0.25">
      <c r="A19" s="53">
        <v>11</v>
      </c>
      <c r="B19" s="53">
        <v>2033</v>
      </c>
      <c r="C19" s="47">
        <f t="shared" si="3"/>
        <v>1177.2225207451788</v>
      </c>
      <c r="D19" s="90">
        <v>2.5999999999999999E-2</v>
      </c>
      <c r="E19" s="64">
        <f t="shared" si="2"/>
        <v>4623</v>
      </c>
      <c r="F19" s="64">
        <f t="shared" si="4"/>
        <v>102222.46077136835</v>
      </c>
      <c r="G19" s="64">
        <f t="shared" si="5"/>
        <v>67225.532130144042</v>
      </c>
      <c r="H19" s="1"/>
      <c r="Q19" s="16"/>
    </row>
    <row r="20" spans="1:17" x14ac:dyDescent="0.25">
      <c r="A20" s="66">
        <v>12</v>
      </c>
      <c r="B20" s="66">
        <v>2034</v>
      </c>
      <c r="C20" s="43">
        <f t="shared" si="3"/>
        <v>1188.9947459526304</v>
      </c>
      <c r="D20" s="89">
        <v>2.5999999999999999E-2</v>
      </c>
      <c r="E20" s="67">
        <f t="shared" si="2"/>
        <v>4623</v>
      </c>
      <c r="F20" s="67">
        <f t="shared" si="4"/>
        <v>100237.558620468</v>
      </c>
      <c r="G20" s="67">
        <f t="shared" si="5"/>
        <v>63455.876122846246</v>
      </c>
      <c r="H20" s="1"/>
      <c r="Q20" s="16"/>
    </row>
    <row r="21" spans="1:17" x14ac:dyDescent="0.25">
      <c r="A21" s="53">
        <v>13</v>
      </c>
      <c r="B21" s="53">
        <v>2035</v>
      </c>
      <c r="C21" s="47">
        <f t="shared" si="3"/>
        <v>1200.884693412157</v>
      </c>
      <c r="D21" s="90">
        <v>2.5999999999999999E-2</v>
      </c>
      <c r="E21" s="64">
        <f t="shared" si="2"/>
        <v>4623</v>
      </c>
      <c r="F21" s="64">
        <f t="shared" si="4"/>
        <v>98291.198258905541</v>
      </c>
      <c r="G21" s="64">
        <f t="shared" si="5"/>
        <v>59897.602695396934</v>
      </c>
      <c r="H21" s="1"/>
      <c r="Q21" s="16"/>
    </row>
    <row r="22" spans="1:17" x14ac:dyDescent="0.25">
      <c r="A22" s="66">
        <v>14</v>
      </c>
      <c r="B22" s="66">
        <v>2036</v>
      </c>
      <c r="C22" s="43">
        <f t="shared" si="3"/>
        <v>1212.8935403462785</v>
      </c>
      <c r="D22" s="89">
        <v>2.5999999999999999E-2</v>
      </c>
      <c r="E22" s="67">
        <f t="shared" si="2"/>
        <v>4623</v>
      </c>
      <c r="F22" s="67">
        <f t="shared" si="4"/>
        <v>96382.631302421927</v>
      </c>
      <c r="G22" s="67">
        <f t="shared" si="5"/>
        <v>56538.858619019542</v>
      </c>
      <c r="H22" s="1"/>
      <c r="Q22" s="16"/>
    </row>
    <row r="23" spans="1:17" x14ac:dyDescent="0.25">
      <c r="A23" s="53">
        <v>15</v>
      </c>
      <c r="B23" s="53">
        <v>2037</v>
      </c>
      <c r="C23" s="47">
        <f t="shared" si="3"/>
        <v>1225.0224757497415</v>
      </c>
      <c r="D23" s="90">
        <v>2.5999999999999999E-2</v>
      </c>
      <c r="E23" s="64">
        <f t="shared" si="2"/>
        <v>4623</v>
      </c>
      <c r="F23" s="64">
        <f t="shared" si="4"/>
        <v>94511.123898491409</v>
      </c>
      <c r="G23" s="64">
        <f t="shared" si="5"/>
        <v>53368.455331971716</v>
      </c>
      <c r="H23" s="1"/>
      <c r="Q23" s="16"/>
    </row>
    <row r="24" spans="1:17" x14ac:dyDescent="0.25">
      <c r="A24" s="66">
        <v>16</v>
      </c>
      <c r="B24" s="66">
        <v>2038</v>
      </c>
      <c r="C24" s="43">
        <f t="shared" si="3"/>
        <v>1237.2727005072386</v>
      </c>
      <c r="D24" s="89">
        <v>2.5999999999999999E-2</v>
      </c>
      <c r="E24" s="67">
        <f t="shared" si="2"/>
        <v>4623</v>
      </c>
      <c r="F24" s="67">
        <f t="shared" si="4"/>
        <v>92675.956444151758</v>
      </c>
      <c r="G24" s="67">
        <f t="shared" si="5"/>
        <v>50375.831668496656</v>
      </c>
      <c r="H24" s="1"/>
      <c r="Q24" s="16"/>
    </row>
    <row r="25" spans="1:17" x14ac:dyDescent="0.25">
      <c r="A25" s="53">
        <v>17</v>
      </c>
      <c r="B25" s="53">
        <v>2039</v>
      </c>
      <c r="C25" s="47">
        <f t="shared" si="3"/>
        <v>1249.645427512311</v>
      </c>
      <c r="D25" s="90">
        <v>2.5999999999999999E-2</v>
      </c>
      <c r="E25" s="64">
        <f t="shared" si="2"/>
        <v>4623</v>
      </c>
      <c r="F25" s="64">
        <f t="shared" si="4"/>
        <v>90876.423309313876</v>
      </c>
      <c r="G25" s="64">
        <f t="shared" si="5"/>
        <v>47551.018677739841</v>
      </c>
      <c r="H25" s="1"/>
      <c r="Q25" s="16"/>
    </row>
    <row r="26" spans="1:17" x14ac:dyDescent="0.25">
      <c r="A26" s="66">
        <v>18</v>
      </c>
      <c r="B26" s="66">
        <v>2040</v>
      </c>
      <c r="C26" s="43">
        <f t="shared" si="3"/>
        <v>1262.1418817874342</v>
      </c>
      <c r="D26" s="89">
        <v>2.5999999999999999E-2</v>
      </c>
      <c r="E26" s="67">
        <f t="shared" si="2"/>
        <v>4623</v>
      </c>
      <c r="F26" s="67">
        <f t="shared" si="4"/>
        <v>89111.832565443692</v>
      </c>
      <c r="G26" s="67">
        <f t="shared" si="5"/>
        <v>44884.606415436669</v>
      </c>
      <c r="H26" s="1"/>
      <c r="Q26" s="16"/>
    </row>
    <row r="27" spans="1:17" x14ac:dyDescent="0.25">
      <c r="A27" s="53">
        <v>19</v>
      </c>
      <c r="B27" s="53">
        <v>2041</v>
      </c>
      <c r="C27" s="47">
        <f t="shared" si="3"/>
        <v>1274.7633006053088</v>
      </c>
      <c r="D27" s="90">
        <v>2.5999999999999999E-2</v>
      </c>
      <c r="E27" s="64">
        <f t="shared" si="2"/>
        <v>4623</v>
      </c>
      <c r="F27" s="64">
        <f t="shared" si="4"/>
        <v>87381.505719512774</v>
      </c>
      <c r="G27" s="64">
        <f t="shared" si="5"/>
        <v>42367.712597748636</v>
      </c>
      <c r="H27" s="1"/>
      <c r="K27" s="34"/>
      <c r="Q27" s="16"/>
    </row>
    <row r="28" spans="1:17" x14ac:dyDescent="0.25">
      <c r="A28" s="106">
        <v>20</v>
      </c>
      <c r="B28" s="106">
        <v>2042</v>
      </c>
      <c r="C28" s="108">
        <f t="shared" si="3"/>
        <v>1287.5109336113617</v>
      </c>
      <c r="D28" s="132">
        <v>2.5999999999999999E-2</v>
      </c>
      <c r="E28" s="109">
        <f t="shared" si="2"/>
        <v>4623</v>
      </c>
      <c r="F28" s="109">
        <f t="shared" si="4"/>
        <v>85684.777453114453</v>
      </c>
      <c r="G28" s="109">
        <f t="shared" si="5"/>
        <v>39991.953012828148</v>
      </c>
      <c r="H28" s="1"/>
      <c r="Q28" s="16"/>
    </row>
    <row r="29" spans="1:17" ht="15.75" thickBot="1" x14ac:dyDescent="0.3">
      <c r="A29" s="78"/>
      <c r="B29" s="77"/>
      <c r="C29" s="77"/>
      <c r="D29" s="78"/>
      <c r="E29" s="79"/>
      <c r="F29" s="80">
        <f>SUM(F4:F28)</f>
        <v>2077814.5529150569</v>
      </c>
      <c r="G29" s="80">
        <f>SUM(G4:G28)</f>
        <v>1461767.3957165044</v>
      </c>
    </row>
    <row r="30" spans="1:17" x14ac:dyDescent="0.25">
      <c r="A30" s="19"/>
      <c r="H30" s="15"/>
      <c r="I30" s="15"/>
    </row>
    <row r="31" spans="1:17" x14ac:dyDescent="0.25">
      <c r="A31" s="20" t="s">
        <v>59</v>
      </c>
      <c r="L31" s="30"/>
    </row>
    <row r="32" spans="1:17" x14ac:dyDescent="0.25">
      <c r="A32" s="20" t="s">
        <v>45</v>
      </c>
    </row>
    <row r="33" spans="1:2" x14ac:dyDescent="0.25">
      <c r="A33" s="20" t="s">
        <v>184</v>
      </c>
    </row>
    <row r="34" spans="1:2" x14ac:dyDescent="0.25">
      <c r="A34" s="20" t="s">
        <v>185</v>
      </c>
    </row>
    <row r="35" spans="1:2" x14ac:dyDescent="0.25">
      <c r="A35" s="20" t="s">
        <v>186</v>
      </c>
    </row>
    <row r="36" spans="1:2" x14ac:dyDescent="0.25">
      <c r="A36" s="20" t="s">
        <v>187</v>
      </c>
    </row>
    <row r="37" spans="1:2" x14ac:dyDescent="0.25">
      <c r="A37" s="20" t="s">
        <v>94</v>
      </c>
    </row>
    <row r="38" spans="1:2" x14ac:dyDescent="0.25">
      <c r="A38"/>
    </row>
    <row r="39" spans="1:2" x14ac:dyDescent="0.25">
      <c r="A39" t="s">
        <v>189</v>
      </c>
    </row>
    <row r="40" spans="1:2" x14ac:dyDescent="0.25">
      <c r="A40" t="s">
        <v>190</v>
      </c>
      <c r="B40" t="s">
        <v>191</v>
      </c>
    </row>
    <row r="41" spans="1:2" x14ac:dyDescent="0.25">
      <c r="A41" t="s">
        <v>192</v>
      </c>
      <c r="B41" s="34">
        <v>4623</v>
      </c>
    </row>
    <row r="42" spans="1:2" x14ac:dyDescent="0.25">
      <c r="A42"/>
    </row>
    <row r="43" spans="1:2" x14ac:dyDescent="0.25">
      <c r="A43" s="32" t="s">
        <v>188</v>
      </c>
    </row>
    <row r="44" spans="1:2" x14ac:dyDescent="0.25">
      <c r="A44"/>
    </row>
    <row r="45" spans="1:2" x14ac:dyDescent="0.25">
      <c r="A45"/>
    </row>
    <row r="47" spans="1:2" x14ac:dyDescent="0.25">
      <c r="A47" s="8"/>
    </row>
    <row r="48" spans="1:2" x14ac:dyDescent="0.25">
      <c r="A48" s="8"/>
    </row>
    <row r="49" spans="1:3" x14ac:dyDescent="0.25">
      <c r="A49" s="8"/>
    </row>
    <row r="50" spans="1:3" x14ac:dyDescent="0.25">
      <c r="A50" s="8"/>
    </row>
    <row r="51" spans="1:3" x14ac:dyDescent="0.25">
      <c r="A51" s="8"/>
    </row>
    <row r="53" spans="1:3" x14ac:dyDescent="0.25">
      <c r="A53" s="9"/>
      <c r="B53" s="10"/>
      <c r="C53" s="10"/>
    </row>
    <row r="54" spans="1:3" x14ac:dyDescent="0.25">
      <c r="A54" s="11"/>
      <c r="B54" s="10"/>
      <c r="C54" s="10"/>
    </row>
    <row r="55" spans="1:3" x14ac:dyDescent="0.25">
      <c r="A55" s="12"/>
      <c r="B55" s="12"/>
      <c r="C55" s="12"/>
    </row>
    <row r="56" spans="1:3" x14ac:dyDescent="0.25">
      <c r="A56" s="11"/>
      <c r="B56" s="13"/>
      <c r="C56" s="13"/>
    </row>
    <row r="57" spans="1:3" x14ac:dyDescent="0.25">
      <c r="A57" s="11"/>
      <c r="B57" s="13"/>
      <c r="C57" s="13"/>
    </row>
    <row r="58" spans="1:3" x14ac:dyDescent="0.25">
      <c r="A58" s="11"/>
      <c r="B58" s="13"/>
      <c r="C58" s="13"/>
    </row>
    <row r="59" spans="1:3" x14ac:dyDescent="0.25">
      <c r="A59" s="11"/>
      <c r="B59" s="13"/>
      <c r="C59" s="13"/>
    </row>
    <row r="60" spans="1:3" x14ac:dyDescent="0.25">
      <c r="A60" s="11"/>
      <c r="B60" s="13"/>
      <c r="C60" s="13"/>
    </row>
    <row r="61" spans="1:3" x14ac:dyDescent="0.25">
      <c r="A61" s="11"/>
      <c r="B61" s="13"/>
      <c r="C61" s="13"/>
    </row>
    <row r="62" spans="1:3" x14ac:dyDescent="0.25">
      <c r="A62" s="11"/>
      <c r="B62" s="13"/>
      <c r="C62" s="13"/>
    </row>
    <row r="63" spans="1:3" x14ac:dyDescent="0.25">
      <c r="A63" s="11"/>
      <c r="B63" s="13"/>
      <c r="C63" s="13"/>
    </row>
    <row r="64" spans="1:3" x14ac:dyDescent="0.25">
      <c r="A64" s="11"/>
      <c r="B64" s="13"/>
      <c r="C64" s="13"/>
    </row>
    <row r="65" spans="1:3" x14ac:dyDescent="0.25">
      <c r="A65" s="11"/>
      <c r="B65" s="13"/>
      <c r="C65" s="13"/>
    </row>
    <row r="66" spans="1:3" x14ac:dyDescent="0.25">
      <c r="A66" s="11"/>
      <c r="B66" s="13"/>
      <c r="C66" s="13"/>
    </row>
    <row r="67" spans="1:3" x14ac:dyDescent="0.25">
      <c r="A67" s="11"/>
      <c r="B67" s="13"/>
      <c r="C67" s="13"/>
    </row>
    <row r="68" spans="1:3" x14ac:dyDescent="0.25">
      <c r="A68" s="11"/>
      <c r="B68" s="13"/>
      <c r="C68" s="13"/>
    </row>
    <row r="69" spans="1:3" x14ac:dyDescent="0.25">
      <c r="A69" s="11"/>
      <c r="B69" s="13"/>
      <c r="C69" s="13"/>
    </row>
    <row r="70" spans="1:3" x14ac:dyDescent="0.25">
      <c r="A70" s="11"/>
      <c r="B70" s="13"/>
      <c r="C70" s="13"/>
    </row>
    <row r="71" spans="1:3" x14ac:dyDescent="0.25">
      <c r="A71" s="11"/>
      <c r="B71" s="13"/>
      <c r="C71" s="13"/>
    </row>
    <row r="72" spans="1:3" x14ac:dyDescent="0.25">
      <c r="A72" s="11"/>
      <c r="B72" s="13"/>
      <c r="C72" s="13"/>
    </row>
    <row r="73" spans="1:3" x14ac:dyDescent="0.25">
      <c r="A73" s="11"/>
      <c r="B73" s="13"/>
      <c r="C73" s="13"/>
    </row>
    <row r="74" spans="1:3" x14ac:dyDescent="0.25">
      <c r="A74" s="11"/>
      <c r="B74" s="13"/>
      <c r="C74" s="13"/>
    </row>
    <row r="75" spans="1:3" x14ac:dyDescent="0.25">
      <c r="A75" s="11"/>
      <c r="B75" s="13"/>
      <c r="C75" s="13"/>
    </row>
    <row r="76" spans="1:3" x14ac:dyDescent="0.25">
      <c r="A76" s="11"/>
      <c r="B76" s="13"/>
      <c r="C76" s="13"/>
    </row>
    <row r="77" spans="1:3" x14ac:dyDescent="0.25">
      <c r="A77" s="11"/>
      <c r="B77" s="13"/>
      <c r="C77" s="13"/>
    </row>
    <row r="78" spans="1:3" x14ac:dyDescent="0.25">
      <c r="A78" s="11"/>
      <c r="B78" s="10"/>
      <c r="C78" s="10"/>
    </row>
    <row r="79" spans="1:3" x14ac:dyDescent="0.25">
      <c r="A79" s="11"/>
      <c r="B79" s="14"/>
      <c r="C79" s="14"/>
    </row>
    <row r="80" spans="1:3" x14ac:dyDescent="0.25">
      <c r="A80" s="11"/>
      <c r="B80" s="10"/>
      <c r="C80" s="10"/>
    </row>
  </sheetData>
  <hyperlinks>
    <hyperlink ref="A43" r:id="rId1" xr:uid="{00000000-0004-0000-0900-000000000000}"/>
  </hyperlinks>
  <pageMargins left="0.7" right="0.7" top="0.75" bottom="0.75" header="0.3" footer="0.3"/>
  <pageSetup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5"/>
  <sheetViews>
    <sheetView zoomScale="90" zoomScaleNormal="90" workbookViewId="0">
      <pane ySplit="3" topLeftCell="A31" activePane="bottomLeft" state="frozen"/>
      <selection pane="bottomLeft" activeCell="H63" sqref="H63"/>
    </sheetView>
  </sheetViews>
  <sheetFormatPr defaultRowHeight="15" x14ac:dyDescent="0.25"/>
  <cols>
    <col min="1" max="1" width="12.5703125" customWidth="1"/>
    <col min="2" max="2" width="17" style="1" bestFit="1" customWidth="1"/>
    <col min="3" max="3" width="11.140625" bestFit="1" customWidth="1"/>
    <col min="4" max="4" width="13.85546875" bestFit="1" customWidth="1"/>
    <col min="5" max="5" width="14.140625" customWidth="1"/>
    <col min="6" max="6" width="18.42578125" customWidth="1"/>
    <col min="7" max="7" width="13.28515625" bestFit="1" customWidth="1"/>
    <col min="8" max="8" width="15.85546875" bestFit="1" customWidth="1"/>
    <col min="9" max="9" width="14.42578125" bestFit="1" customWidth="1"/>
    <col min="10" max="10" width="18.85546875" bestFit="1" customWidth="1"/>
    <col min="11" max="11" width="17.42578125" bestFit="1" customWidth="1"/>
    <col min="12" max="12" width="15.85546875" bestFit="1" customWidth="1"/>
    <col min="13" max="14" width="19.140625" bestFit="1" customWidth="1"/>
    <col min="15" max="15" width="15.42578125" customWidth="1"/>
    <col min="16" max="16" width="14.5703125" customWidth="1"/>
    <col min="17" max="17" width="18.85546875" bestFit="1" customWidth="1"/>
    <col min="18" max="18" width="18.140625" customWidth="1"/>
    <col min="19" max="20" width="15" bestFit="1" customWidth="1"/>
    <col min="21" max="22" width="12.5703125" customWidth="1"/>
    <col min="23" max="24" width="12.5703125" style="1" customWidth="1"/>
    <col min="25" max="26" width="12.5703125" customWidth="1"/>
    <col min="27" max="27" width="10" bestFit="1" customWidth="1"/>
    <col min="28" max="28" width="13.28515625" bestFit="1" customWidth="1"/>
    <col min="30" max="30" width="13.28515625" bestFit="1" customWidth="1"/>
    <col min="32" max="32" width="13.28515625" bestFit="1" customWidth="1"/>
  </cols>
  <sheetData>
    <row r="1" spans="1:25" ht="15.75" x14ac:dyDescent="0.25">
      <c r="A1" s="105" t="s">
        <v>229</v>
      </c>
    </row>
    <row r="3" spans="1:25" s="2" customFormat="1" ht="60" x14ac:dyDescent="0.25">
      <c r="A3" s="92" t="s">
        <v>44</v>
      </c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148</v>
      </c>
      <c r="H3" s="92" t="s">
        <v>13</v>
      </c>
      <c r="I3" s="92" t="s">
        <v>178</v>
      </c>
      <c r="J3" s="92" t="s">
        <v>180</v>
      </c>
      <c r="K3" s="92" t="s">
        <v>181</v>
      </c>
      <c r="L3" s="92" t="s">
        <v>182</v>
      </c>
      <c r="M3" s="92" t="s">
        <v>179</v>
      </c>
      <c r="N3" s="92" t="s">
        <v>16</v>
      </c>
      <c r="S3"/>
      <c r="T3"/>
      <c r="U3"/>
      <c r="V3"/>
      <c r="W3"/>
      <c r="X3"/>
      <c r="Y3"/>
    </row>
    <row r="4" spans="1:25" s="1" customFormat="1" x14ac:dyDescent="0.25">
      <c r="A4" s="66">
        <v>0</v>
      </c>
      <c r="B4" s="66">
        <v>2018</v>
      </c>
      <c r="C4" s="43">
        <v>4800</v>
      </c>
      <c r="D4" s="44">
        <v>1014</v>
      </c>
      <c r="E4" s="45"/>
      <c r="F4" s="44"/>
      <c r="G4" s="44"/>
      <c r="H4" s="46"/>
      <c r="I4" s="46"/>
      <c r="J4" s="46"/>
      <c r="K4" s="46"/>
      <c r="L4" s="46"/>
      <c r="M4" s="46"/>
      <c r="N4" s="46"/>
      <c r="S4"/>
      <c r="T4"/>
      <c r="U4"/>
      <c r="V4"/>
      <c r="W4"/>
      <c r="X4"/>
      <c r="Y4"/>
    </row>
    <row r="5" spans="1:25" x14ac:dyDescent="0.25">
      <c r="A5" s="53">
        <v>0</v>
      </c>
      <c r="B5" s="53">
        <v>2019</v>
      </c>
      <c r="C5" s="47">
        <f t="shared" ref="C5:C28" si="0">$C$4*(1.01)^(B5-$B$4)</f>
        <v>4848</v>
      </c>
      <c r="D5" s="48">
        <f t="shared" ref="D5:D28" si="1">$D$4*1.01^(B5-$B$4)</f>
        <v>1024.1400000000001</v>
      </c>
      <c r="E5" s="49"/>
      <c r="F5" s="48"/>
      <c r="G5" s="48"/>
      <c r="H5" s="50"/>
      <c r="I5" s="50"/>
      <c r="J5" s="50"/>
      <c r="K5" s="50"/>
      <c r="L5" s="50"/>
      <c r="M5" s="50"/>
      <c r="N5" s="50"/>
      <c r="P5" s="31"/>
      <c r="W5"/>
      <c r="X5"/>
    </row>
    <row r="6" spans="1:25" x14ac:dyDescent="0.25">
      <c r="A6" s="66">
        <v>0</v>
      </c>
      <c r="B6" s="66">
        <v>2020</v>
      </c>
      <c r="C6" s="43">
        <f t="shared" si="0"/>
        <v>4896.4800000000005</v>
      </c>
      <c r="D6" s="44">
        <f t="shared" si="1"/>
        <v>1034.3814</v>
      </c>
      <c r="E6" s="45"/>
      <c r="F6" s="44"/>
      <c r="G6" s="44"/>
      <c r="H6" s="46"/>
      <c r="I6" s="46"/>
      <c r="J6" s="46"/>
      <c r="K6" s="46"/>
      <c r="L6" s="46"/>
      <c r="M6" s="46"/>
      <c r="N6" s="46"/>
      <c r="W6"/>
      <c r="X6"/>
    </row>
    <row r="7" spans="1:25" x14ac:dyDescent="0.25">
      <c r="A7" s="53">
        <v>0</v>
      </c>
      <c r="B7" s="53">
        <v>2021</v>
      </c>
      <c r="C7" s="47">
        <f t="shared" si="0"/>
        <v>4945.4447999999993</v>
      </c>
      <c r="D7" s="48">
        <f t="shared" si="1"/>
        <v>1044.7252139999998</v>
      </c>
      <c r="E7" s="49"/>
      <c r="F7" s="48"/>
      <c r="G7" s="48"/>
      <c r="H7" s="50"/>
      <c r="I7" s="50"/>
      <c r="J7" s="50"/>
      <c r="K7" s="50"/>
      <c r="L7" s="50"/>
      <c r="M7" s="50"/>
      <c r="N7" s="51"/>
      <c r="W7"/>
      <c r="X7"/>
    </row>
    <row r="8" spans="1:25" x14ac:dyDescent="0.25">
      <c r="A8" s="66">
        <v>0</v>
      </c>
      <c r="B8" s="66">
        <v>2022</v>
      </c>
      <c r="C8" s="43">
        <f t="shared" si="0"/>
        <v>4994.8992479999997</v>
      </c>
      <c r="D8" s="44">
        <f t="shared" si="1"/>
        <v>1055.1724661400001</v>
      </c>
      <c r="E8" s="45"/>
      <c r="F8" s="44"/>
      <c r="G8" s="44"/>
      <c r="H8" s="46"/>
      <c r="I8" s="46"/>
      <c r="J8" s="46"/>
      <c r="K8" s="46"/>
      <c r="L8" s="46"/>
      <c r="M8" s="46"/>
      <c r="N8" s="52"/>
      <c r="W8"/>
      <c r="X8"/>
    </row>
    <row r="9" spans="1:25" x14ac:dyDescent="0.25">
      <c r="A9" s="53">
        <v>1</v>
      </c>
      <c r="B9" s="53">
        <v>2023</v>
      </c>
      <c r="C9" s="47">
        <f t="shared" si="0"/>
        <v>5044.8482404799997</v>
      </c>
      <c r="D9" s="48">
        <f t="shared" si="1"/>
        <v>1065.7241908014</v>
      </c>
      <c r="E9" s="49">
        <v>8.6</v>
      </c>
      <c r="F9" s="48">
        <f t="shared" ref="F9:F28" si="2">D9*E9</f>
        <v>9165.2280408920396</v>
      </c>
      <c r="G9" s="48">
        <f>E9*D9*365</f>
        <v>3345308.2349255946</v>
      </c>
      <c r="H9" s="50">
        <f t="shared" ref="H9:H28" si="3">C9*365/1000000</f>
        <v>1.8413696077752</v>
      </c>
      <c r="I9" s="50">
        <v>0.15</v>
      </c>
      <c r="J9" s="50">
        <v>0.2</v>
      </c>
      <c r="K9" s="50">
        <v>0.3</v>
      </c>
      <c r="L9" s="50">
        <v>0.65</v>
      </c>
      <c r="M9" s="50">
        <f>H9*(I9+J9+K9+L9)</f>
        <v>2.3937804901077597</v>
      </c>
      <c r="N9" s="51">
        <f t="shared" ref="N9:N28" si="4">M9*$C$67</f>
        <v>166180.6358400489</v>
      </c>
      <c r="W9"/>
      <c r="X9"/>
    </row>
    <row r="10" spans="1:25" s="35" customFormat="1" x14ac:dyDescent="0.25">
      <c r="A10" s="93">
        <v>2</v>
      </c>
      <c r="B10" s="66">
        <v>2024</v>
      </c>
      <c r="C10" s="43">
        <f t="shared" si="0"/>
        <v>5095.2967228848011</v>
      </c>
      <c r="D10" s="44">
        <f t="shared" si="1"/>
        <v>1076.3814327094142</v>
      </c>
      <c r="E10" s="45">
        <v>8.6</v>
      </c>
      <c r="F10" s="44">
        <f t="shared" si="2"/>
        <v>9256.8803213009614</v>
      </c>
      <c r="G10" s="44">
        <f>E10*D10*366</f>
        <v>3388018.1975961518</v>
      </c>
      <c r="H10" s="46">
        <f t="shared" si="3"/>
        <v>1.8597833038529523</v>
      </c>
      <c r="I10" s="46">
        <v>0.15</v>
      </c>
      <c r="J10" s="46">
        <v>0.2</v>
      </c>
      <c r="K10" s="46">
        <v>0.3</v>
      </c>
      <c r="L10" s="46">
        <v>0.65</v>
      </c>
      <c r="M10" s="46">
        <f t="shared" ref="M10:M28" si="5">H10*(I10+J10+K10+L10)</f>
        <v>2.4177182950088376</v>
      </c>
      <c r="N10" s="52">
        <f t="shared" si="4"/>
        <v>167842.44219844943</v>
      </c>
      <c r="O10"/>
      <c r="U10"/>
      <c r="V10"/>
      <c r="W10"/>
      <c r="X10"/>
      <c r="Y10"/>
    </row>
    <row r="11" spans="1:25" x14ac:dyDescent="0.25">
      <c r="A11" s="53">
        <v>3</v>
      </c>
      <c r="B11" s="53">
        <v>2025</v>
      </c>
      <c r="C11" s="47">
        <f t="shared" si="0"/>
        <v>5146.2496901136474</v>
      </c>
      <c r="D11" s="48">
        <f t="shared" si="1"/>
        <v>1087.145247036508</v>
      </c>
      <c r="E11" s="49">
        <v>8.6</v>
      </c>
      <c r="F11" s="48">
        <f t="shared" si="2"/>
        <v>9349.4491245139689</v>
      </c>
      <c r="G11" s="48">
        <f>E11*D11*365</f>
        <v>3412548.9304475985</v>
      </c>
      <c r="H11" s="50">
        <f t="shared" si="3"/>
        <v>1.8783811368914813</v>
      </c>
      <c r="I11" s="50">
        <v>0.15</v>
      </c>
      <c r="J11" s="50">
        <v>0.2</v>
      </c>
      <c r="K11" s="50">
        <v>0.3</v>
      </c>
      <c r="L11" s="50">
        <v>0.65</v>
      </c>
      <c r="M11" s="50">
        <f t="shared" si="5"/>
        <v>2.4418954779589255</v>
      </c>
      <c r="N11" s="51">
        <f t="shared" si="4"/>
        <v>169520.86662043387</v>
      </c>
      <c r="W11"/>
      <c r="X11"/>
    </row>
    <row r="12" spans="1:25" x14ac:dyDescent="0.25">
      <c r="A12" s="66">
        <v>4</v>
      </c>
      <c r="B12" s="66">
        <v>2026</v>
      </c>
      <c r="C12" s="43">
        <f t="shared" si="0"/>
        <v>5197.7121870147848</v>
      </c>
      <c r="D12" s="44">
        <f t="shared" si="1"/>
        <v>1098.0166995068735</v>
      </c>
      <c r="E12" s="45">
        <v>8.6</v>
      </c>
      <c r="F12" s="44">
        <f t="shared" si="2"/>
        <v>9442.9436157591117</v>
      </c>
      <c r="G12" s="44">
        <f>E12*D12*365</f>
        <v>3446674.4197520758</v>
      </c>
      <c r="H12" s="46">
        <f t="shared" si="3"/>
        <v>1.8971649482603965</v>
      </c>
      <c r="I12" s="46">
        <v>0.15</v>
      </c>
      <c r="J12" s="46">
        <v>0.2</v>
      </c>
      <c r="K12" s="46">
        <v>0.3</v>
      </c>
      <c r="L12" s="46">
        <v>0.65</v>
      </c>
      <c r="M12" s="46">
        <f t="shared" si="5"/>
        <v>2.4663144327385149</v>
      </c>
      <c r="N12" s="52">
        <f t="shared" si="4"/>
        <v>171216.07528663822</v>
      </c>
      <c r="W12"/>
      <c r="X12"/>
    </row>
    <row r="13" spans="1:25" x14ac:dyDescent="0.25">
      <c r="A13" s="53">
        <v>5</v>
      </c>
      <c r="B13" s="53">
        <v>2027</v>
      </c>
      <c r="C13" s="47">
        <f t="shared" si="0"/>
        <v>5249.6893088849338</v>
      </c>
      <c r="D13" s="48">
        <f t="shared" si="1"/>
        <v>1108.9968665019421</v>
      </c>
      <c r="E13" s="49">
        <v>8.6</v>
      </c>
      <c r="F13" s="48">
        <f t="shared" si="2"/>
        <v>9537.373051916702</v>
      </c>
      <c r="G13" s="48">
        <f>E13*D13*365</f>
        <v>3481141.1639495962</v>
      </c>
      <c r="H13" s="50">
        <f t="shared" si="3"/>
        <v>1.9161365977430009</v>
      </c>
      <c r="I13" s="50">
        <v>0.15</v>
      </c>
      <c r="J13" s="50">
        <v>0.2</v>
      </c>
      <c r="K13" s="50">
        <v>0.3</v>
      </c>
      <c r="L13" s="50">
        <v>0.65</v>
      </c>
      <c r="M13" s="50">
        <f t="shared" si="5"/>
        <v>2.4909775770659008</v>
      </c>
      <c r="N13" s="51">
        <f t="shared" si="4"/>
        <v>172928.23603950467</v>
      </c>
      <c r="W13"/>
      <c r="X13"/>
    </row>
    <row r="14" spans="1:25" x14ac:dyDescent="0.25">
      <c r="A14" s="66">
        <v>6</v>
      </c>
      <c r="B14" s="66">
        <v>2028</v>
      </c>
      <c r="C14" s="43">
        <f t="shared" si="0"/>
        <v>5302.1862019737828</v>
      </c>
      <c r="D14" s="44">
        <f t="shared" si="1"/>
        <v>1120.0868351669617</v>
      </c>
      <c r="E14" s="45">
        <v>8.6</v>
      </c>
      <c r="F14" s="44">
        <f t="shared" si="2"/>
        <v>9632.74678243587</v>
      </c>
      <c r="G14" s="44">
        <f>E14*D14*366</f>
        <v>3525585.3223715285</v>
      </c>
      <c r="H14" s="46">
        <f t="shared" si="3"/>
        <v>1.9352979637204306</v>
      </c>
      <c r="I14" s="46">
        <v>0.15</v>
      </c>
      <c r="J14" s="46">
        <v>0.2</v>
      </c>
      <c r="K14" s="46">
        <v>0.3</v>
      </c>
      <c r="L14" s="46">
        <v>0.65</v>
      </c>
      <c r="M14" s="46">
        <f t="shared" si="5"/>
        <v>2.5158873528365593</v>
      </c>
      <c r="N14" s="52">
        <f t="shared" si="4"/>
        <v>174657.51839989968</v>
      </c>
      <c r="W14"/>
      <c r="X14"/>
    </row>
    <row r="15" spans="1:25" x14ac:dyDescent="0.25">
      <c r="A15" s="53">
        <v>7</v>
      </c>
      <c r="B15" s="53">
        <v>2029</v>
      </c>
      <c r="C15" s="47">
        <f t="shared" si="0"/>
        <v>5355.2080639935193</v>
      </c>
      <c r="D15" s="48">
        <f t="shared" si="1"/>
        <v>1131.2877035186309</v>
      </c>
      <c r="E15" s="49">
        <v>8.6</v>
      </c>
      <c r="F15" s="48">
        <f>D15*E15</f>
        <v>9729.0742502602261</v>
      </c>
      <c r="G15" s="48">
        <f>E15*D15*365</f>
        <v>3551112.1013449826</v>
      </c>
      <c r="H15" s="50">
        <f t="shared" si="3"/>
        <v>1.9546509433576347</v>
      </c>
      <c r="I15" s="50">
        <v>0.15</v>
      </c>
      <c r="J15" s="50">
        <v>0.2</v>
      </c>
      <c r="K15" s="50">
        <v>0.3</v>
      </c>
      <c r="L15" s="50">
        <v>0.65</v>
      </c>
      <c r="M15" s="50">
        <f t="shared" si="5"/>
        <v>2.5410462263649247</v>
      </c>
      <c r="N15" s="51">
        <f t="shared" si="4"/>
        <v>176404.09358389865</v>
      </c>
      <c r="W15"/>
      <c r="X15"/>
    </row>
    <row r="16" spans="1:25" x14ac:dyDescent="0.25">
      <c r="A16" s="66">
        <v>8</v>
      </c>
      <c r="B16" s="66">
        <v>2030</v>
      </c>
      <c r="C16" s="43">
        <f t="shared" si="0"/>
        <v>5408.7601446334547</v>
      </c>
      <c r="D16" s="44">
        <f t="shared" si="1"/>
        <v>1142.6005805538173</v>
      </c>
      <c r="E16" s="45">
        <v>8.6</v>
      </c>
      <c r="F16" s="44">
        <f t="shared" si="2"/>
        <v>9826.3649927628285</v>
      </c>
      <c r="G16" s="44">
        <f>E16*D16*365</f>
        <v>3586623.2223584326</v>
      </c>
      <c r="H16" s="46">
        <f t="shared" si="3"/>
        <v>1.9741974527912109</v>
      </c>
      <c r="I16" s="46">
        <v>0.15</v>
      </c>
      <c r="J16" s="46">
        <v>0.2</v>
      </c>
      <c r="K16" s="46">
        <v>0.3</v>
      </c>
      <c r="L16" s="46">
        <v>0.65</v>
      </c>
      <c r="M16" s="46">
        <f t="shared" si="5"/>
        <v>2.5664566886285738</v>
      </c>
      <c r="N16" s="52">
        <f t="shared" si="4"/>
        <v>178168.13451973762</v>
      </c>
      <c r="W16"/>
      <c r="X16"/>
    </row>
    <row r="17" spans="1:24" x14ac:dyDescent="0.25">
      <c r="A17" s="53">
        <v>9</v>
      </c>
      <c r="B17" s="53">
        <v>2031</v>
      </c>
      <c r="C17" s="47">
        <f t="shared" si="0"/>
        <v>5462.8477460797894</v>
      </c>
      <c r="D17" s="48">
        <f t="shared" si="1"/>
        <v>1154.0265863593556</v>
      </c>
      <c r="E17" s="49">
        <v>8.6</v>
      </c>
      <c r="F17" s="48">
        <f t="shared" si="2"/>
        <v>9924.6286426904571</v>
      </c>
      <c r="G17" s="48">
        <f>E17*D17*365</f>
        <v>3622489.4545820169</v>
      </c>
      <c r="H17" s="50">
        <f t="shared" si="3"/>
        <v>1.9939394273191231</v>
      </c>
      <c r="I17" s="50">
        <v>0.15</v>
      </c>
      <c r="J17" s="50">
        <v>0.2</v>
      </c>
      <c r="K17" s="50">
        <v>0.3</v>
      </c>
      <c r="L17" s="50">
        <v>0.65</v>
      </c>
      <c r="M17" s="50">
        <f t="shared" si="5"/>
        <v>2.5921212555148596</v>
      </c>
      <c r="N17" s="51">
        <f t="shared" si="4"/>
        <v>179949.81586493502</v>
      </c>
      <c r="W17"/>
      <c r="X17"/>
    </row>
    <row r="18" spans="1:24" x14ac:dyDescent="0.25">
      <c r="A18" s="66">
        <v>10</v>
      </c>
      <c r="B18" s="66">
        <v>2032</v>
      </c>
      <c r="C18" s="43">
        <f t="shared" si="0"/>
        <v>5517.4762235405879</v>
      </c>
      <c r="D18" s="44">
        <f t="shared" si="1"/>
        <v>1165.5668522229494</v>
      </c>
      <c r="E18" s="45">
        <v>8.6</v>
      </c>
      <c r="F18" s="44">
        <f t="shared" si="2"/>
        <v>10023.874929117364</v>
      </c>
      <c r="G18" s="44">
        <f>E18*D18*366</f>
        <v>3668738.2240569554</v>
      </c>
      <c r="H18" s="46">
        <f t="shared" si="3"/>
        <v>2.0138788215923147</v>
      </c>
      <c r="I18" s="46">
        <v>0.15</v>
      </c>
      <c r="J18" s="46">
        <v>0.2</v>
      </c>
      <c r="K18" s="46">
        <v>0.3</v>
      </c>
      <c r="L18" s="46">
        <v>0.65</v>
      </c>
      <c r="M18" s="46">
        <f t="shared" si="5"/>
        <v>2.6180424680700085</v>
      </c>
      <c r="N18" s="52">
        <f t="shared" si="4"/>
        <v>181749.31402358439</v>
      </c>
      <c r="W18"/>
      <c r="X18"/>
    </row>
    <row r="19" spans="1:24" x14ac:dyDescent="0.25">
      <c r="A19" s="53">
        <v>11</v>
      </c>
      <c r="B19" s="53">
        <v>2033</v>
      </c>
      <c r="C19" s="47">
        <f t="shared" si="0"/>
        <v>5572.6509857759929</v>
      </c>
      <c r="D19" s="48">
        <f t="shared" si="1"/>
        <v>1177.2225207451784</v>
      </c>
      <c r="E19" s="49">
        <v>8.6</v>
      </c>
      <c r="F19" s="48">
        <f t="shared" si="2"/>
        <v>10124.113678408534</v>
      </c>
      <c r="G19" s="48">
        <f>E19*D19*365</f>
        <v>3695301.4926191149</v>
      </c>
      <c r="H19" s="50">
        <f t="shared" si="3"/>
        <v>2.0340176098082376</v>
      </c>
      <c r="I19" s="50">
        <v>0.15</v>
      </c>
      <c r="J19" s="50">
        <v>0.2</v>
      </c>
      <c r="K19" s="50">
        <v>0.3</v>
      </c>
      <c r="L19" s="50">
        <v>0.65</v>
      </c>
      <c r="M19" s="50">
        <f t="shared" si="5"/>
        <v>2.6442228927507085</v>
      </c>
      <c r="N19" s="51">
        <f t="shared" si="4"/>
        <v>183566.80716382022</v>
      </c>
      <c r="W19"/>
      <c r="X19"/>
    </row>
    <row r="20" spans="1:24" x14ac:dyDescent="0.25">
      <c r="A20" s="66">
        <v>12</v>
      </c>
      <c r="B20" s="66">
        <v>2034</v>
      </c>
      <c r="C20" s="43">
        <f t="shared" si="0"/>
        <v>5628.3774956337538</v>
      </c>
      <c r="D20" s="44">
        <f t="shared" si="1"/>
        <v>1188.9947459526306</v>
      </c>
      <c r="E20" s="45">
        <v>8.6</v>
      </c>
      <c r="F20" s="44">
        <f t="shared" si="2"/>
        <v>10225.354815192622</v>
      </c>
      <c r="G20" s="44">
        <f>E20*D20*365</f>
        <v>3732254.5075453073</v>
      </c>
      <c r="H20" s="46">
        <f t="shared" si="3"/>
        <v>2.05435778590632</v>
      </c>
      <c r="I20" s="46">
        <v>0.15</v>
      </c>
      <c r="J20" s="46">
        <v>0.2</v>
      </c>
      <c r="K20" s="46">
        <v>0.3</v>
      </c>
      <c r="L20" s="46">
        <v>0.65</v>
      </c>
      <c r="M20" s="46">
        <f t="shared" si="5"/>
        <v>2.6706651216782156</v>
      </c>
      <c r="N20" s="52">
        <f t="shared" si="4"/>
        <v>185402.47523545843</v>
      </c>
      <c r="W20"/>
      <c r="X20"/>
    </row>
    <row r="21" spans="1:24" x14ac:dyDescent="0.25">
      <c r="A21" s="53">
        <v>13</v>
      </c>
      <c r="B21" s="53">
        <v>2035</v>
      </c>
      <c r="C21" s="47">
        <f t="shared" si="0"/>
        <v>5684.6612705900916</v>
      </c>
      <c r="D21" s="48">
        <f t="shared" si="1"/>
        <v>1200.884693412157</v>
      </c>
      <c r="E21" s="49">
        <v>8.6</v>
      </c>
      <c r="F21" s="48">
        <f t="shared" si="2"/>
        <v>10327.608363344551</v>
      </c>
      <c r="G21" s="48">
        <f>E21*D21*365</f>
        <v>3769577.0526207611</v>
      </c>
      <c r="H21" s="50">
        <f t="shared" si="3"/>
        <v>2.0749013637653833</v>
      </c>
      <c r="I21" s="50">
        <v>0.15</v>
      </c>
      <c r="J21" s="50">
        <v>0.2</v>
      </c>
      <c r="K21" s="50">
        <v>0.3</v>
      </c>
      <c r="L21" s="50">
        <v>0.65</v>
      </c>
      <c r="M21" s="50">
        <f t="shared" si="5"/>
        <v>2.6973717728949977</v>
      </c>
      <c r="N21" s="51">
        <f t="shared" si="4"/>
        <v>187256.499987813</v>
      </c>
      <c r="W21"/>
      <c r="X21"/>
    </row>
    <row r="22" spans="1:24" x14ac:dyDescent="0.25">
      <c r="A22" s="66">
        <v>14</v>
      </c>
      <c r="B22" s="66">
        <v>2036</v>
      </c>
      <c r="C22" s="43">
        <f t="shared" si="0"/>
        <v>5741.5078832959935</v>
      </c>
      <c r="D22" s="44">
        <f t="shared" si="1"/>
        <v>1212.8935403462785</v>
      </c>
      <c r="E22" s="45">
        <v>8.6</v>
      </c>
      <c r="F22" s="44">
        <f t="shared" si="2"/>
        <v>10430.884446977994</v>
      </c>
      <c r="G22" s="44">
        <f>E22*D22*366</f>
        <v>3817703.7075939458</v>
      </c>
      <c r="H22" s="46">
        <f t="shared" si="3"/>
        <v>2.0956503774030377</v>
      </c>
      <c r="I22" s="46">
        <v>0.15</v>
      </c>
      <c r="J22" s="46">
        <v>0.2</v>
      </c>
      <c r="K22" s="46">
        <v>0.3</v>
      </c>
      <c r="L22" s="46">
        <v>0.65</v>
      </c>
      <c r="M22" s="46">
        <f t="shared" si="5"/>
        <v>2.7243454906239486</v>
      </c>
      <c r="N22" s="52">
        <f t="shared" si="4"/>
        <v>189129.06498769121</v>
      </c>
      <c r="W22"/>
      <c r="X22"/>
    </row>
    <row r="23" spans="1:24" x14ac:dyDescent="0.25">
      <c r="A23" s="53">
        <v>15</v>
      </c>
      <c r="B23" s="53">
        <v>2037</v>
      </c>
      <c r="C23" s="47">
        <f t="shared" si="0"/>
        <v>5798.9229621289514</v>
      </c>
      <c r="D23" s="48">
        <f t="shared" si="1"/>
        <v>1225.022475749741</v>
      </c>
      <c r="E23" s="49">
        <v>8.6</v>
      </c>
      <c r="F23" s="48">
        <f t="shared" si="2"/>
        <v>10535.193291447773</v>
      </c>
      <c r="G23" s="48">
        <f>E23*D23*365</f>
        <v>3845345.5513784373</v>
      </c>
      <c r="H23" s="50">
        <f t="shared" si="3"/>
        <v>2.1166068811770673</v>
      </c>
      <c r="I23" s="50">
        <v>0.15</v>
      </c>
      <c r="J23" s="50">
        <v>0.2</v>
      </c>
      <c r="K23" s="50">
        <v>0.3</v>
      </c>
      <c r="L23" s="50">
        <v>0.65</v>
      </c>
      <c r="M23" s="50">
        <f t="shared" si="5"/>
        <v>2.751588945530187</v>
      </c>
      <c r="N23" s="51">
        <f t="shared" si="4"/>
        <v>191020.35563756802</v>
      </c>
      <c r="W23"/>
      <c r="X23"/>
    </row>
    <row r="24" spans="1:24" x14ac:dyDescent="0.25">
      <c r="A24" s="66">
        <v>16</v>
      </c>
      <c r="B24" s="66">
        <v>2038</v>
      </c>
      <c r="C24" s="43">
        <f t="shared" si="0"/>
        <v>5856.9121917502416</v>
      </c>
      <c r="D24" s="44">
        <f t="shared" si="1"/>
        <v>1237.2727005072386</v>
      </c>
      <c r="E24" s="45">
        <v>8.6</v>
      </c>
      <c r="F24" s="44">
        <f t="shared" si="2"/>
        <v>10640.545224362251</v>
      </c>
      <c r="G24" s="44">
        <f>E24*D24*365</f>
        <v>3883799.0068922215</v>
      </c>
      <c r="H24" s="46">
        <f t="shared" si="3"/>
        <v>2.1377729499888383</v>
      </c>
      <c r="I24" s="46">
        <v>0.15</v>
      </c>
      <c r="J24" s="46">
        <v>0.2</v>
      </c>
      <c r="K24" s="46">
        <v>0.3</v>
      </c>
      <c r="L24" s="46">
        <v>0.65</v>
      </c>
      <c r="M24" s="46">
        <f t="shared" si="5"/>
        <v>2.7791048349854894</v>
      </c>
      <c r="N24" s="52">
        <f t="shared" si="4"/>
        <v>192930.55919394374</v>
      </c>
      <c r="W24"/>
      <c r="X24"/>
    </row>
    <row r="25" spans="1:24" x14ac:dyDescent="0.25">
      <c r="A25" s="53">
        <v>17</v>
      </c>
      <c r="B25" s="53">
        <v>2039</v>
      </c>
      <c r="C25" s="47">
        <f t="shared" si="0"/>
        <v>5915.481313667744</v>
      </c>
      <c r="D25" s="48">
        <f t="shared" si="1"/>
        <v>1249.6454275123108</v>
      </c>
      <c r="E25" s="49">
        <v>8.6</v>
      </c>
      <c r="F25" s="48">
        <f t="shared" si="2"/>
        <v>10746.950676605873</v>
      </c>
      <c r="G25" s="48">
        <f>E25*D25*365</f>
        <v>3922636.9969611438</v>
      </c>
      <c r="H25" s="50">
        <f t="shared" si="3"/>
        <v>2.1591506794887265</v>
      </c>
      <c r="I25" s="50">
        <v>0.15</v>
      </c>
      <c r="J25" s="50">
        <v>0.2</v>
      </c>
      <c r="K25" s="50">
        <v>0.3</v>
      </c>
      <c r="L25" s="50">
        <v>0.65</v>
      </c>
      <c r="M25" s="50">
        <f>H25*(I25+J25+K25+L25)</f>
        <v>2.8068958833353439</v>
      </c>
      <c r="N25" s="51">
        <f t="shared" si="4"/>
        <v>194859.86478588317</v>
      </c>
      <c r="W25"/>
      <c r="X25"/>
    </row>
    <row r="26" spans="1:24" x14ac:dyDescent="0.25">
      <c r="A26" s="66">
        <v>18</v>
      </c>
      <c r="B26" s="66">
        <v>2040</v>
      </c>
      <c r="C26" s="43">
        <f t="shared" si="0"/>
        <v>5974.6361268044229</v>
      </c>
      <c r="D26" s="44">
        <f t="shared" si="1"/>
        <v>1262.1418817874342</v>
      </c>
      <c r="E26" s="45">
        <v>8.6</v>
      </c>
      <c r="F26" s="44">
        <f t="shared" si="2"/>
        <v>10854.420183371933</v>
      </c>
      <c r="G26" s="44">
        <f>E26*D26*366</f>
        <v>3972717.7871141275</v>
      </c>
      <c r="H26" s="46">
        <f t="shared" si="3"/>
        <v>2.1807421862836143</v>
      </c>
      <c r="I26" s="46">
        <v>0.15</v>
      </c>
      <c r="J26" s="46">
        <v>0.2</v>
      </c>
      <c r="K26" s="46">
        <v>0.3</v>
      </c>
      <c r="L26" s="46">
        <v>0.65</v>
      </c>
      <c r="M26" s="46">
        <f t="shared" si="5"/>
        <v>2.8349648421686982</v>
      </c>
      <c r="N26" s="52">
        <f t="shared" si="4"/>
        <v>196808.46343374206</v>
      </c>
      <c r="W26"/>
      <c r="X26"/>
    </row>
    <row r="27" spans="1:24" x14ac:dyDescent="0.25">
      <c r="A27" s="53">
        <v>19</v>
      </c>
      <c r="B27" s="53">
        <v>2041</v>
      </c>
      <c r="C27" s="47">
        <f t="shared" si="0"/>
        <v>6034.382488072466</v>
      </c>
      <c r="D27" s="48">
        <f t="shared" si="1"/>
        <v>1274.7633006053084</v>
      </c>
      <c r="E27" s="49">
        <v>8.6</v>
      </c>
      <c r="F27" s="48">
        <f t="shared" si="2"/>
        <v>10962.964385205651</v>
      </c>
      <c r="G27" s="48">
        <f>E27*D27*365</f>
        <v>4001482.0006000623</v>
      </c>
      <c r="H27" s="50">
        <f t="shared" si="3"/>
        <v>2.20254960814645</v>
      </c>
      <c r="I27" s="50">
        <v>0.15</v>
      </c>
      <c r="J27" s="50">
        <v>0.2</v>
      </c>
      <c r="K27" s="50">
        <v>0.3</v>
      </c>
      <c r="L27" s="50">
        <v>0.65</v>
      </c>
      <c r="M27" s="50">
        <f t="shared" si="5"/>
        <v>2.8633144905903847</v>
      </c>
      <c r="N27" s="51">
        <f t="shared" si="4"/>
        <v>198776.54806807943</v>
      </c>
      <c r="P27" s="32"/>
      <c r="W27"/>
      <c r="X27"/>
    </row>
    <row r="28" spans="1:24" x14ac:dyDescent="0.25">
      <c r="A28" s="66">
        <v>20</v>
      </c>
      <c r="B28" s="66">
        <v>2042</v>
      </c>
      <c r="C28" s="43">
        <f t="shared" si="0"/>
        <v>6094.7263129531921</v>
      </c>
      <c r="D28" s="44">
        <f t="shared" si="1"/>
        <v>1287.5109336113617</v>
      </c>
      <c r="E28" s="45">
        <v>8.6</v>
      </c>
      <c r="F28" s="44">
        <f t="shared" si="2"/>
        <v>11072.594029057709</v>
      </c>
      <c r="G28" s="44">
        <f>E28*D28*365</f>
        <v>4041496.8206060641</v>
      </c>
      <c r="H28" s="46">
        <f t="shared" si="3"/>
        <v>2.2245751042279149</v>
      </c>
      <c r="I28" s="46">
        <v>0.15</v>
      </c>
      <c r="J28" s="46">
        <v>0.2</v>
      </c>
      <c r="K28" s="46">
        <v>0.3</v>
      </c>
      <c r="L28" s="46">
        <v>0.65</v>
      </c>
      <c r="M28" s="46">
        <f t="shared" si="5"/>
        <v>2.891947635496289</v>
      </c>
      <c r="N28" s="52">
        <f t="shared" si="4"/>
        <v>200764.31354876026</v>
      </c>
      <c r="W28"/>
      <c r="X28"/>
    </row>
    <row r="29" spans="1:24" x14ac:dyDescent="0.25">
      <c r="A29" s="53"/>
      <c r="B29" s="53"/>
      <c r="C29" s="47"/>
      <c r="D29" s="48"/>
      <c r="E29" s="53"/>
      <c r="F29" s="48"/>
      <c r="G29" s="48"/>
      <c r="H29" s="50"/>
      <c r="I29" s="50"/>
      <c r="J29" s="50"/>
      <c r="K29" s="50"/>
      <c r="L29" s="50"/>
      <c r="M29" s="50"/>
      <c r="N29" s="50"/>
      <c r="W29"/>
      <c r="X29"/>
    </row>
    <row r="30" spans="1:24" x14ac:dyDescent="0.25">
      <c r="A30" s="66"/>
      <c r="B30" s="66"/>
      <c r="C30" s="94"/>
      <c r="D30" s="94"/>
      <c r="E30" s="94"/>
      <c r="F30" s="94"/>
      <c r="G30" s="94"/>
      <c r="H30" s="66"/>
      <c r="I30" s="66"/>
      <c r="J30" s="66"/>
      <c r="K30" s="66"/>
      <c r="L30" s="66"/>
      <c r="M30" s="94"/>
      <c r="N30" s="94"/>
      <c r="W30"/>
      <c r="X30"/>
    </row>
    <row r="31" spans="1:24" ht="15.75" thickBot="1" x14ac:dyDescent="0.3">
      <c r="A31" s="54"/>
      <c r="B31" s="54"/>
      <c r="C31" s="54"/>
      <c r="D31" s="54"/>
      <c r="E31" s="54"/>
      <c r="F31" s="55"/>
      <c r="G31" s="56">
        <f>SUM(G4:G30)</f>
        <v>73710554.195316121</v>
      </c>
      <c r="H31" s="57"/>
      <c r="I31" s="57"/>
      <c r="J31" s="57"/>
      <c r="K31" s="57"/>
      <c r="L31" s="57"/>
      <c r="M31" s="54"/>
      <c r="N31" s="58">
        <f>SUM(N4:N30)</f>
        <v>3659132.0844198903</v>
      </c>
      <c r="W31"/>
      <c r="X31"/>
    </row>
    <row r="32" spans="1:24" ht="15.75" thickTop="1" x14ac:dyDescent="0.25"/>
    <row r="33" spans="1:22" x14ac:dyDescent="0.25">
      <c r="A33" t="s">
        <v>53</v>
      </c>
      <c r="B33" s="20"/>
      <c r="V33" s="30"/>
    </row>
    <row r="34" spans="1:22" x14ac:dyDescent="0.25">
      <c r="A34" s="20" t="s">
        <v>52</v>
      </c>
    </row>
    <row r="35" spans="1:22" x14ac:dyDescent="0.25">
      <c r="A35" s="20" t="s">
        <v>95</v>
      </c>
    </row>
    <row r="36" spans="1:22" x14ac:dyDescent="0.25">
      <c r="A36" s="20" t="s">
        <v>98</v>
      </c>
    </row>
    <row r="37" spans="1:22" x14ac:dyDescent="0.25">
      <c r="A37" s="20" t="s">
        <v>147</v>
      </c>
    </row>
    <row r="38" spans="1:22" x14ac:dyDescent="0.25">
      <c r="A38" s="20" t="s">
        <v>46</v>
      </c>
    </row>
    <row r="39" spans="1:22" x14ac:dyDescent="0.25">
      <c r="A39" s="20" t="s">
        <v>47</v>
      </c>
    </row>
    <row r="40" spans="1:22" x14ac:dyDescent="0.25">
      <c r="A40" s="42" t="s">
        <v>209</v>
      </c>
      <c r="B40" s="29"/>
    </row>
    <row r="41" spans="1:22" x14ac:dyDescent="0.25">
      <c r="A41" s="42" t="s">
        <v>204</v>
      </c>
      <c r="B41" s="29"/>
      <c r="F41" t="s">
        <v>214</v>
      </c>
    </row>
    <row r="42" spans="1:22" x14ac:dyDescent="0.25">
      <c r="A42" s="42" t="s">
        <v>205</v>
      </c>
      <c r="B42" s="29"/>
    </row>
    <row r="43" spans="1:22" x14ac:dyDescent="0.25">
      <c r="A43" s="42" t="s">
        <v>206</v>
      </c>
      <c r="B43" s="29"/>
      <c r="K43" s="133" t="s">
        <v>212</v>
      </c>
      <c r="L43" s="133"/>
      <c r="N43" s="22" t="s">
        <v>213</v>
      </c>
    </row>
    <row r="44" spans="1:22" ht="45" x14ac:dyDescent="0.25">
      <c r="A44" s="42" t="s">
        <v>207</v>
      </c>
      <c r="B44" s="29"/>
      <c r="K44" s="92" t="s">
        <v>44</v>
      </c>
      <c r="L44" s="92" t="s">
        <v>129</v>
      </c>
      <c r="M44" s="59"/>
      <c r="N44" s="92" t="s">
        <v>136</v>
      </c>
    </row>
    <row r="45" spans="1:22" x14ac:dyDescent="0.25">
      <c r="A45" s="42" t="s">
        <v>208</v>
      </c>
      <c r="B45" s="29"/>
      <c r="K45" s="53">
        <v>1</v>
      </c>
      <c r="L45" s="51">
        <f t="shared" ref="L45:L64" si="6">N9/(1.03^A9)</f>
        <v>161340.42314567853</v>
      </c>
      <c r="M45" s="59"/>
      <c r="N45" s="51">
        <f t="shared" ref="N45:N64" si="7">L45/(1.07/1.03)^K45</f>
        <v>155309.00545798961</v>
      </c>
    </row>
    <row r="46" spans="1:22" x14ac:dyDescent="0.25">
      <c r="A46" s="42" t="s">
        <v>210</v>
      </c>
      <c r="B46" s="29"/>
      <c r="K46" s="66">
        <v>2</v>
      </c>
      <c r="L46" s="52">
        <f t="shared" si="6"/>
        <v>158207.59939527707</v>
      </c>
      <c r="M46" s="59"/>
      <c r="N46" s="52">
        <f t="shared" si="7"/>
        <v>146600.08926408371</v>
      </c>
    </row>
    <row r="47" spans="1:22" x14ac:dyDescent="0.25">
      <c r="A47" s="42"/>
      <c r="B47" s="29"/>
      <c r="K47" s="53">
        <v>3</v>
      </c>
      <c r="L47" s="51">
        <f t="shared" si="6"/>
        <v>155135.60717400949</v>
      </c>
      <c r="M47" s="59"/>
      <c r="N47" s="51">
        <f t="shared" si="7"/>
        <v>138379.52351095749</v>
      </c>
    </row>
    <row r="48" spans="1:22" x14ac:dyDescent="0.25">
      <c r="A48" s="32" t="s">
        <v>228</v>
      </c>
      <c r="K48" s="66">
        <v>4</v>
      </c>
      <c r="L48" s="52">
        <f t="shared" si="6"/>
        <v>152123.26528713555</v>
      </c>
      <c r="M48" s="59"/>
      <c r="N48" s="52">
        <f t="shared" si="7"/>
        <v>130619.92406174494</v>
      </c>
    </row>
    <row r="49" spans="1:24" x14ac:dyDescent="0.25">
      <c r="A49" s="18" t="s">
        <v>38</v>
      </c>
      <c r="K49" s="53">
        <v>5</v>
      </c>
      <c r="L49" s="51">
        <f t="shared" si="6"/>
        <v>149169.41547573492</v>
      </c>
      <c r="M49" s="59"/>
      <c r="N49" s="51">
        <f t="shared" si="7"/>
        <v>123295.44233865647</v>
      </c>
    </row>
    <row r="50" spans="1:24" x14ac:dyDescent="0.25">
      <c r="A50" s="42"/>
      <c r="B50" s="29"/>
      <c r="K50" s="66">
        <v>6</v>
      </c>
      <c r="L50" s="52">
        <f t="shared" si="6"/>
        <v>146272.92197135166</v>
      </c>
      <c r="M50" s="59"/>
      <c r="N50" s="52">
        <f t="shared" si="7"/>
        <v>116381.67921686261</v>
      </c>
    </row>
    <row r="51" spans="1:24" x14ac:dyDescent="0.25">
      <c r="A51" s="8" t="s">
        <v>177</v>
      </c>
      <c r="B51" s="32" t="s">
        <v>172</v>
      </c>
      <c r="K51" s="53">
        <v>7</v>
      </c>
      <c r="L51" s="51">
        <f t="shared" si="6"/>
        <v>143432.67105928657</v>
      </c>
      <c r="M51" s="59"/>
      <c r="N51" s="51">
        <f t="shared" si="7"/>
        <v>109855.60374675816</v>
      </c>
    </row>
    <row r="52" spans="1:24" x14ac:dyDescent="0.25">
      <c r="A52" s="31" t="s">
        <v>173</v>
      </c>
      <c r="B52">
        <v>15</v>
      </c>
      <c r="K52" s="66">
        <v>8</v>
      </c>
      <c r="L52" s="52">
        <f t="shared" si="6"/>
        <v>140647.57065036838</v>
      </c>
      <c r="M52" s="59"/>
      <c r="N52" s="52">
        <f t="shared" si="7"/>
        <v>103695.47643385585</v>
      </c>
      <c r="W52"/>
      <c r="X52"/>
    </row>
    <row r="53" spans="1:24" x14ac:dyDescent="0.25">
      <c r="A53" s="31" t="s">
        <v>174</v>
      </c>
      <c r="B53">
        <v>20</v>
      </c>
      <c r="K53" s="53">
        <v>9</v>
      </c>
      <c r="L53" s="51">
        <f t="shared" si="6"/>
        <v>137916.54986104087</v>
      </c>
      <c r="M53" s="59"/>
      <c r="N53" s="51">
        <f t="shared" si="7"/>
        <v>97880.776820742452</v>
      </c>
      <c r="W53"/>
      <c r="X53"/>
    </row>
    <row r="54" spans="1:24" x14ac:dyDescent="0.25">
      <c r="A54" s="31" t="s">
        <v>175</v>
      </c>
      <c r="B54">
        <v>30</v>
      </c>
      <c r="K54" s="66">
        <v>10</v>
      </c>
      <c r="L54" s="52">
        <f t="shared" si="6"/>
        <v>135238.55860160317</v>
      </c>
      <c r="M54" s="59"/>
      <c r="N54" s="52">
        <f t="shared" si="7"/>
        <v>92392.1351298597</v>
      </c>
      <c r="W54"/>
      <c r="X54"/>
    </row>
    <row r="55" spans="1:24" x14ac:dyDescent="0.25">
      <c r="A55" s="31" t="s">
        <v>176</v>
      </c>
      <c r="B55">
        <v>65</v>
      </c>
      <c r="K55" s="53">
        <v>11</v>
      </c>
      <c r="L55" s="51">
        <f t="shared" si="6"/>
        <v>132612.56717244582</v>
      </c>
      <c r="M55" s="59"/>
      <c r="N55" s="51">
        <f t="shared" si="7"/>
        <v>87211.267739400268</v>
      </c>
      <c r="W55"/>
      <c r="X55"/>
    </row>
    <row r="56" spans="1:24" x14ac:dyDescent="0.25">
      <c r="B56"/>
      <c r="K56" s="66">
        <v>12</v>
      </c>
      <c r="L56" s="52">
        <f t="shared" si="6"/>
        <v>130037.56586812652</v>
      </c>
      <c r="M56" s="59"/>
      <c r="N56" s="52">
        <f t="shared" si="7"/>
        <v>82320.916277377837</v>
      </c>
      <c r="W56"/>
      <c r="X56"/>
    </row>
    <row r="57" spans="1:24" x14ac:dyDescent="0.25">
      <c r="A57" s="133" t="s">
        <v>168</v>
      </c>
      <c r="B57" s="133"/>
      <c r="C57" s="133"/>
      <c r="D57" s="133"/>
      <c r="E57" s="133"/>
      <c r="K57" s="53">
        <v>13</v>
      </c>
      <c r="L57" s="51">
        <f t="shared" si="6"/>
        <v>127512.56458913376</v>
      </c>
      <c r="M57" s="59"/>
      <c r="N57" s="51">
        <f t="shared" si="7"/>
        <v>77704.790130982816</v>
      </c>
      <c r="W57"/>
      <c r="X57"/>
    </row>
    <row r="58" spans="1:24" ht="45" x14ac:dyDescent="0.25">
      <c r="A58" s="92" t="s">
        <v>165</v>
      </c>
      <c r="B58" s="92" t="s">
        <v>164</v>
      </c>
      <c r="C58" s="92" t="s">
        <v>170</v>
      </c>
      <c r="D58" s="92" t="s">
        <v>160</v>
      </c>
      <c r="E58" s="92" t="s">
        <v>171</v>
      </c>
      <c r="K58" s="66">
        <v>14</v>
      </c>
      <c r="L58" s="52">
        <f t="shared" si="6"/>
        <v>125036.59246118946</v>
      </c>
      <c r="M58" s="59"/>
      <c r="N58" s="52">
        <f t="shared" si="7"/>
        <v>73347.512179712779</v>
      </c>
      <c r="W58"/>
      <c r="X58"/>
    </row>
    <row r="59" spans="1:24" x14ac:dyDescent="0.25">
      <c r="A59" s="46" t="s">
        <v>162</v>
      </c>
      <c r="B59" s="46" t="s">
        <v>157</v>
      </c>
      <c r="C59" s="46">
        <f>(126+65)/10</f>
        <v>19.100000000000001</v>
      </c>
      <c r="D59" s="52">
        <v>3200</v>
      </c>
      <c r="E59" s="52">
        <f>C59*D59</f>
        <v>61120.000000000007</v>
      </c>
      <c r="K59" s="53">
        <v>15</v>
      </c>
      <c r="L59" s="51">
        <f t="shared" si="6"/>
        <v>122608.69746194298</v>
      </c>
      <c r="M59" s="59"/>
      <c r="N59" s="51">
        <f t="shared" si="7"/>
        <v>69234.567571504536</v>
      </c>
      <c r="W59"/>
      <c r="X59"/>
    </row>
    <row r="60" spans="1:24" x14ac:dyDescent="0.25">
      <c r="A60" s="50" t="s">
        <v>161</v>
      </c>
      <c r="B60" s="50" t="s">
        <v>158</v>
      </c>
      <c r="C60" s="50">
        <f>(3+18)/10</f>
        <v>2.1</v>
      </c>
      <c r="D60" s="51">
        <v>174000</v>
      </c>
      <c r="E60" s="51">
        <f>C60*D60</f>
        <v>365400</v>
      </c>
      <c r="K60" s="66">
        <v>16</v>
      </c>
      <c r="L60" s="52">
        <f t="shared" si="6"/>
        <v>120227.94605491502</v>
      </c>
      <c r="M60" s="59"/>
      <c r="N60" s="52">
        <f t="shared" si="7"/>
        <v>65352.255371233303</v>
      </c>
      <c r="W60"/>
      <c r="X60"/>
    </row>
    <row r="61" spans="1:24" x14ac:dyDescent="0.25">
      <c r="A61" s="46" t="s">
        <v>163</v>
      </c>
      <c r="B61" s="46" t="s">
        <v>159</v>
      </c>
      <c r="C61" s="46">
        <f>1/10</f>
        <v>0.1</v>
      </c>
      <c r="D61" s="52">
        <v>9600000</v>
      </c>
      <c r="E61" s="52">
        <f>C61*D61</f>
        <v>960000</v>
      </c>
      <c r="K61" s="53">
        <v>17</v>
      </c>
      <c r="L61" s="51">
        <f t="shared" si="6"/>
        <v>117893.42283054773</v>
      </c>
      <c r="M61" s="59"/>
      <c r="N61" s="51">
        <f t="shared" si="7"/>
        <v>61687.642920509934</v>
      </c>
      <c r="W61"/>
      <c r="X61"/>
    </row>
    <row r="62" spans="1:24" ht="15.75" thickBot="1" x14ac:dyDescent="0.3">
      <c r="A62" s="59"/>
      <c r="B62" s="59"/>
      <c r="C62" s="59"/>
      <c r="D62" s="59"/>
      <c r="E62" s="60">
        <f>SUM(E59:E61)</f>
        <v>1386520</v>
      </c>
      <c r="K62" s="66">
        <v>18</v>
      </c>
      <c r="L62" s="52">
        <f t="shared" si="6"/>
        <v>115604.23015422645</v>
      </c>
      <c r="M62" s="59"/>
      <c r="N62" s="52">
        <f t="shared" si="7"/>
        <v>58228.522756743041</v>
      </c>
      <c r="W62"/>
      <c r="X62"/>
    </row>
    <row r="63" spans="1:24" x14ac:dyDescent="0.25">
      <c r="A63" s="59"/>
      <c r="B63" s="59"/>
      <c r="C63" s="59"/>
      <c r="D63" s="59"/>
      <c r="E63" s="59"/>
      <c r="K63" s="53">
        <v>19</v>
      </c>
      <c r="L63" s="51">
        <f t="shared" si="6"/>
        <v>113359.48782113465</v>
      </c>
      <c r="M63" s="59"/>
      <c r="N63" s="51">
        <f t="shared" si="7"/>
        <v>54963.371947953703</v>
      </c>
      <c r="W63"/>
      <c r="X63"/>
    </row>
    <row r="64" spans="1:24" ht="30" x14ac:dyDescent="0.25">
      <c r="A64" s="92" t="s">
        <v>166</v>
      </c>
      <c r="B64" s="92" t="s">
        <v>167</v>
      </c>
      <c r="C64" s="92" t="s">
        <v>169</v>
      </c>
      <c r="D64" s="59"/>
      <c r="E64" s="59"/>
      <c r="K64" s="66">
        <v>20</v>
      </c>
      <c r="L64" s="52">
        <f t="shared" si="6"/>
        <v>111158.33271781166</v>
      </c>
      <c r="M64" s="59"/>
      <c r="N64" s="52">
        <f t="shared" si="7"/>
        <v>51881.313707881534</v>
      </c>
      <c r="W64"/>
      <c r="X64"/>
    </row>
    <row r="65" spans="1:24" x14ac:dyDescent="0.25">
      <c r="A65" s="46">
        <f>SUM(C59:C61)</f>
        <v>21.300000000000004</v>
      </c>
      <c r="B65" s="52">
        <v>4327</v>
      </c>
      <c r="C65" s="52">
        <f>B65*A65</f>
        <v>92165.10000000002</v>
      </c>
      <c r="D65" s="59"/>
      <c r="E65" s="59"/>
      <c r="K65" s="53"/>
      <c r="L65" s="61"/>
      <c r="M65" s="59"/>
      <c r="N65" s="61"/>
      <c r="W65"/>
      <c r="X65"/>
    </row>
    <row r="66" spans="1:24" x14ac:dyDescent="0.25">
      <c r="B66"/>
      <c r="K66" s="66"/>
      <c r="L66" s="96"/>
      <c r="M66" s="59"/>
      <c r="N66" s="96"/>
      <c r="W66"/>
      <c r="X66"/>
    </row>
    <row r="67" spans="1:24" ht="45.75" thickBot="1" x14ac:dyDescent="0.3">
      <c r="B67" s="39" t="s">
        <v>211</v>
      </c>
      <c r="C67" s="38">
        <f>(E62+C65)/21.3</f>
        <v>69421.835680751174</v>
      </c>
      <c r="K67" s="54"/>
      <c r="L67" s="62">
        <f t="shared" ref="L67" si="8">SUM(L45:L64)</f>
        <v>2695535.9897529604</v>
      </c>
      <c r="M67" s="59"/>
      <c r="N67" s="62">
        <f t="shared" ref="N67" si="9">SUM(N45:N64)</f>
        <v>1896341.8165848108</v>
      </c>
      <c r="W67"/>
      <c r="X67"/>
    </row>
    <row r="68" spans="1:24" ht="15.75" thickTop="1" x14ac:dyDescent="0.25">
      <c r="K68" s="1"/>
      <c r="L68" s="1"/>
      <c r="W68"/>
      <c r="X68"/>
    </row>
    <row r="69" spans="1:24" x14ac:dyDescent="0.25">
      <c r="K69" s="1"/>
      <c r="L69" s="1"/>
      <c r="W69"/>
      <c r="X69"/>
    </row>
    <row r="70" spans="1:24" x14ac:dyDescent="0.25">
      <c r="K70" s="1"/>
      <c r="L70" s="1"/>
      <c r="W70"/>
      <c r="X70"/>
    </row>
    <row r="71" spans="1:24" x14ac:dyDescent="0.25">
      <c r="K71" s="1"/>
      <c r="L71" s="1"/>
      <c r="W71"/>
      <c r="X71"/>
    </row>
    <row r="72" spans="1:24" x14ac:dyDescent="0.25">
      <c r="K72" s="1"/>
      <c r="L72" s="1"/>
      <c r="W72"/>
      <c r="X72"/>
    </row>
    <row r="73" spans="1:24" x14ac:dyDescent="0.25">
      <c r="K73" s="1"/>
      <c r="L73" s="1"/>
      <c r="W73"/>
      <c r="X73"/>
    </row>
    <row r="74" spans="1:24" x14ac:dyDescent="0.25">
      <c r="K74" s="1"/>
      <c r="L74" s="1"/>
      <c r="W74"/>
      <c r="X74"/>
    </row>
    <row r="75" spans="1:24" x14ac:dyDescent="0.25">
      <c r="K75" s="1"/>
      <c r="L75" s="1"/>
      <c r="W75"/>
      <c r="X75"/>
    </row>
  </sheetData>
  <mergeCells count="2">
    <mergeCell ref="A57:E57"/>
    <mergeCell ref="K43:L43"/>
  </mergeCells>
  <hyperlinks>
    <hyperlink ref="B51" r:id="rId1" location="linktarget_t8" xr:uid="{00000000-0004-0000-0100-000000000000}"/>
    <hyperlink ref="A48" r:id="rId2" xr:uid="{00000000-0004-0000-0100-000001000000}"/>
  </hyperlinks>
  <pageMargins left="0.7" right="0.7" top="0.75" bottom="0.75" header="0.3" footer="0.3"/>
  <pageSetup scale="3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73"/>
  <sheetViews>
    <sheetView zoomScale="90" zoomScaleNormal="90" workbookViewId="0">
      <pane ySplit="3" topLeftCell="A4" activePane="bottomLeft" state="frozen"/>
      <selection pane="bottomLeft" activeCell="H58" sqref="H58"/>
    </sheetView>
  </sheetViews>
  <sheetFormatPr defaultRowHeight="15" x14ac:dyDescent="0.25"/>
  <cols>
    <col min="1" max="1" width="12.5703125" style="1" customWidth="1"/>
    <col min="2" max="10" width="12.5703125" customWidth="1"/>
    <col min="11" max="11" width="14.5703125" customWidth="1"/>
    <col min="12" max="12" width="15" customWidth="1"/>
    <col min="13" max="17" width="12.5703125" customWidth="1"/>
    <col min="18" max="19" width="12.5703125" style="1" customWidth="1"/>
    <col min="20" max="21" width="12.5703125" customWidth="1"/>
  </cols>
  <sheetData>
    <row r="1" spans="1:29" ht="15.75" x14ac:dyDescent="0.25">
      <c r="A1" s="105" t="s">
        <v>230</v>
      </c>
    </row>
    <row r="3" spans="1:29" s="2" customFormat="1" ht="60" x14ac:dyDescent="0.25">
      <c r="A3" s="92" t="s">
        <v>44</v>
      </c>
      <c r="B3" s="92" t="s">
        <v>0</v>
      </c>
      <c r="C3" s="92" t="s">
        <v>1</v>
      </c>
      <c r="D3" s="92" t="s">
        <v>33</v>
      </c>
      <c r="E3" s="92" t="s">
        <v>34</v>
      </c>
      <c r="F3" s="92" t="s">
        <v>4</v>
      </c>
      <c r="G3" s="92" t="s">
        <v>6</v>
      </c>
      <c r="H3" s="92" t="s">
        <v>5</v>
      </c>
      <c r="I3" s="92" t="s">
        <v>107</v>
      </c>
      <c r="J3" s="92" t="s">
        <v>7</v>
      </c>
      <c r="K3" s="92" t="s">
        <v>41</v>
      </c>
      <c r="L3" s="92" t="s">
        <v>113</v>
      </c>
      <c r="M3" s="92" t="s">
        <v>40</v>
      </c>
      <c r="N3" s="92" t="s">
        <v>126</v>
      </c>
      <c r="O3" s="23"/>
      <c r="P3" s="23"/>
      <c r="Q3" s="23"/>
      <c r="R3" s="23"/>
      <c r="S3" s="23"/>
      <c r="T3" s="23"/>
      <c r="U3" s="23"/>
      <c r="V3" s="23"/>
    </row>
    <row r="4" spans="1:29" s="1" customFormat="1" x14ac:dyDescent="0.25">
      <c r="A4" s="53">
        <v>0</v>
      </c>
      <c r="B4" s="47">
        <v>2018</v>
      </c>
      <c r="C4" s="47">
        <v>4800</v>
      </c>
      <c r="D4" s="48">
        <v>0</v>
      </c>
      <c r="E4" s="53"/>
      <c r="F4" s="48"/>
      <c r="G4" s="48"/>
      <c r="H4" s="48"/>
      <c r="I4" s="64"/>
      <c r="J4" s="47"/>
      <c r="K4" s="65"/>
      <c r="L4" s="65"/>
      <c r="M4" s="65"/>
      <c r="N4" s="64"/>
      <c r="O4" s="24"/>
      <c r="P4" s="24"/>
      <c r="Q4" s="25"/>
      <c r="R4" s="25"/>
      <c r="S4" s="26"/>
      <c r="T4" s="26"/>
      <c r="U4" s="26"/>
      <c r="V4" s="13"/>
    </row>
    <row r="5" spans="1:29" s="1" customFormat="1" x14ac:dyDescent="0.25">
      <c r="A5" s="66">
        <v>0</v>
      </c>
      <c r="B5" s="43">
        <v>2019</v>
      </c>
      <c r="C5" s="43">
        <f t="shared" ref="C5:C28" si="0">$C$4*(1.01)^(B5-$B$4)</f>
        <v>4848</v>
      </c>
      <c r="D5" s="44">
        <v>0</v>
      </c>
      <c r="E5" s="66"/>
      <c r="F5" s="44"/>
      <c r="G5" s="44"/>
      <c r="H5" s="44"/>
      <c r="I5" s="67"/>
      <c r="J5" s="43"/>
      <c r="K5" s="68"/>
      <c r="L5" s="68"/>
      <c r="M5" s="68"/>
      <c r="N5" s="67"/>
      <c r="O5" s="24"/>
      <c r="P5" s="24"/>
      <c r="Q5" s="25"/>
      <c r="R5" s="25"/>
      <c r="S5" s="26"/>
      <c r="T5" s="26"/>
      <c r="U5" s="26"/>
      <c r="V5" s="13"/>
    </row>
    <row r="6" spans="1:29" s="1" customFormat="1" x14ac:dyDescent="0.25">
      <c r="A6" s="53">
        <v>0</v>
      </c>
      <c r="B6" s="47">
        <v>2020</v>
      </c>
      <c r="C6" s="47">
        <f t="shared" si="0"/>
        <v>4896.4800000000005</v>
      </c>
      <c r="D6" s="48">
        <v>0</v>
      </c>
      <c r="E6" s="53"/>
      <c r="F6" s="48"/>
      <c r="G6" s="48"/>
      <c r="H6" s="48"/>
      <c r="I6" s="64"/>
      <c r="J6" s="47"/>
      <c r="K6" s="65"/>
      <c r="L6" s="65"/>
      <c r="M6" s="65"/>
      <c r="N6" s="64"/>
      <c r="O6" s="24"/>
      <c r="P6" s="24"/>
      <c r="Q6" s="25"/>
      <c r="R6" s="25"/>
      <c r="S6" s="26"/>
      <c r="T6" s="26"/>
      <c r="U6" s="26"/>
      <c r="V6" s="13"/>
    </row>
    <row r="7" spans="1:29" x14ac:dyDescent="0.25">
      <c r="A7" s="66">
        <v>0</v>
      </c>
      <c r="B7" s="43">
        <v>2021</v>
      </c>
      <c r="C7" s="43">
        <f t="shared" si="0"/>
        <v>4945.4447999999993</v>
      </c>
      <c r="D7" s="44">
        <v>0</v>
      </c>
      <c r="E7" s="66"/>
      <c r="F7" s="44"/>
      <c r="G7" s="44"/>
      <c r="H7" s="44"/>
      <c r="I7" s="67"/>
      <c r="J7" s="43"/>
      <c r="K7" s="68"/>
      <c r="L7" s="68"/>
      <c r="M7" s="68"/>
      <c r="N7" s="67"/>
      <c r="O7" s="24"/>
      <c r="P7" s="24"/>
      <c r="Q7" s="25"/>
      <c r="R7" s="25"/>
      <c r="S7" s="26"/>
      <c r="T7" s="26"/>
      <c r="U7" s="26"/>
      <c r="V7" s="13"/>
      <c r="AA7" s="1"/>
      <c r="AC7" s="1"/>
    </row>
    <row r="8" spans="1:29" x14ac:dyDescent="0.25">
      <c r="A8" s="53">
        <v>0</v>
      </c>
      <c r="B8" s="47">
        <v>2022</v>
      </c>
      <c r="C8" s="47">
        <f t="shared" si="0"/>
        <v>4994.8992479999997</v>
      </c>
      <c r="D8" s="48">
        <v>0</v>
      </c>
      <c r="E8" s="53"/>
      <c r="F8" s="48"/>
      <c r="G8" s="48"/>
      <c r="H8" s="48"/>
      <c r="I8" s="64"/>
      <c r="J8" s="47"/>
      <c r="K8" s="65"/>
      <c r="L8" s="65"/>
      <c r="M8" s="65"/>
      <c r="N8" s="64"/>
      <c r="O8" s="24"/>
      <c r="P8" s="24"/>
      <c r="Q8" s="30"/>
      <c r="R8" s="25"/>
      <c r="S8" s="26"/>
      <c r="T8" s="26"/>
      <c r="U8" s="26"/>
      <c r="V8" s="13"/>
      <c r="AA8" s="1"/>
      <c r="AC8" s="1"/>
    </row>
    <row r="9" spans="1:29" x14ac:dyDescent="0.25">
      <c r="A9" s="66">
        <v>1</v>
      </c>
      <c r="B9" s="43">
        <v>2023</v>
      </c>
      <c r="C9" s="43">
        <f t="shared" si="0"/>
        <v>5044.8482404799997</v>
      </c>
      <c r="D9" s="44">
        <v>1</v>
      </c>
      <c r="E9" s="66">
        <v>1</v>
      </c>
      <c r="F9" s="44">
        <f>C9*D9/100*E9</f>
        <v>50.448482404799996</v>
      </c>
      <c r="G9" s="44">
        <f t="shared" ref="G9:G11" si="1">F9*365</f>
        <v>18413.696077752</v>
      </c>
      <c r="H9" s="44">
        <f>G9/20</f>
        <v>920.68480388759997</v>
      </c>
      <c r="I9" s="67">
        <f>G9*0.39</f>
        <v>7181.3414703232802</v>
      </c>
      <c r="J9" s="43">
        <v>4.2699999999999996</v>
      </c>
      <c r="K9" s="68">
        <v>37</v>
      </c>
      <c r="L9" s="68">
        <f>K9*(242.839/207.342)</f>
        <v>43.334408851076965</v>
      </c>
      <c r="M9" s="68">
        <f t="shared" ref="M9:M28" si="2">L9/(1.03^A9)</f>
        <v>42.072241602987347</v>
      </c>
      <c r="N9" s="67">
        <f>J9*M9</f>
        <v>179.64847164475594</v>
      </c>
      <c r="O9" s="24"/>
      <c r="P9" s="24"/>
      <c r="R9" s="25"/>
      <c r="S9" s="26"/>
      <c r="T9" s="26"/>
      <c r="U9" s="26"/>
      <c r="V9" s="13"/>
      <c r="AA9" s="1"/>
      <c r="AC9" s="1"/>
    </row>
    <row r="10" spans="1:29" x14ac:dyDescent="0.25">
      <c r="A10" s="53">
        <v>2</v>
      </c>
      <c r="B10" s="47">
        <v>2024</v>
      </c>
      <c r="C10" s="47">
        <f t="shared" si="0"/>
        <v>5095.2967228848011</v>
      </c>
      <c r="D10" s="48">
        <v>1</v>
      </c>
      <c r="E10" s="53">
        <v>1</v>
      </c>
      <c r="F10" s="48">
        <f>C10*D10/100*E10</f>
        <v>50.95296722884801</v>
      </c>
      <c r="G10" s="48">
        <f>F10*366</f>
        <v>18648.786005758371</v>
      </c>
      <c r="H10" s="48">
        <f t="shared" ref="H10:H28" si="3">G10/20</f>
        <v>932.43930028791851</v>
      </c>
      <c r="I10" s="64">
        <f t="shared" ref="I10:I28" si="4">G10*0.39</f>
        <v>7273.0265422457651</v>
      </c>
      <c r="J10" s="47">
        <f>J9*1.01</f>
        <v>4.3126999999999995</v>
      </c>
      <c r="K10" s="65">
        <v>38</v>
      </c>
      <c r="L10" s="65">
        <f t="shared" ref="L10:L28" si="5">K10*(242.839/207.342)</f>
        <v>44.505609090295259</v>
      </c>
      <c r="M10" s="65">
        <f t="shared" si="2"/>
        <v>41.950805062018347</v>
      </c>
      <c r="N10" s="64">
        <f>J10*M10</f>
        <v>180.92123699096649</v>
      </c>
      <c r="O10" s="24"/>
      <c r="P10" s="24"/>
      <c r="R10" s="25"/>
      <c r="S10" s="26"/>
      <c r="T10" s="26"/>
      <c r="U10" s="26"/>
      <c r="V10" s="13"/>
      <c r="AA10" s="1"/>
      <c r="AC10" s="1"/>
    </row>
    <row r="11" spans="1:29" x14ac:dyDescent="0.25">
      <c r="A11" s="66">
        <v>3</v>
      </c>
      <c r="B11" s="43">
        <v>2025</v>
      </c>
      <c r="C11" s="43">
        <f t="shared" si="0"/>
        <v>5146.2496901136474</v>
      </c>
      <c r="D11" s="44">
        <v>1</v>
      </c>
      <c r="E11" s="66">
        <v>1</v>
      </c>
      <c r="F11" s="44">
        <f t="shared" ref="F11:F27" si="6">C11*D11/100*E11</f>
        <v>51.462496901136475</v>
      </c>
      <c r="G11" s="44">
        <f t="shared" si="1"/>
        <v>18783.811368914812</v>
      </c>
      <c r="H11" s="44">
        <f t="shared" si="3"/>
        <v>939.19056844574061</v>
      </c>
      <c r="I11" s="67">
        <f t="shared" si="4"/>
        <v>7325.6864338767773</v>
      </c>
      <c r="J11" s="43">
        <f>J10*1.01</f>
        <v>4.3558269999999997</v>
      </c>
      <c r="K11" s="68">
        <v>39</v>
      </c>
      <c r="L11" s="68">
        <f t="shared" si="5"/>
        <v>45.676809329513553</v>
      </c>
      <c r="M11" s="68">
        <f t="shared" si="2"/>
        <v>41.800751083768915</v>
      </c>
      <c r="N11" s="67">
        <f t="shared" ref="N11:N28" si="7">J11*M11</f>
        <v>182.0768401909599</v>
      </c>
      <c r="O11" s="24"/>
      <c r="P11" s="24"/>
      <c r="R11" s="25"/>
      <c r="S11" s="26"/>
      <c r="T11" s="26"/>
      <c r="U11" s="26"/>
      <c r="V11" s="13"/>
      <c r="AA11" s="1"/>
      <c r="AC11" s="1"/>
    </row>
    <row r="12" spans="1:29" x14ac:dyDescent="0.25">
      <c r="A12" s="53">
        <v>4</v>
      </c>
      <c r="B12" s="47">
        <v>2026</v>
      </c>
      <c r="C12" s="47">
        <f t="shared" si="0"/>
        <v>5197.7121870147848</v>
      </c>
      <c r="D12" s="48">
        <v>1</v>
      </c>
      <c r="E12" s="53">
        <v>1</v>
      </c>
      <c r="F12" s="48">
        <f t="shared" si="6"/>
        <v>51.977121870147847</v>
      </c>
      <c r="G12" s="48">
        <f>F12*365</f>
        <v>18971.649482603963</v>
      </c>
      <c r="H12" s="48">
        <f t="shared" si="3"/>
        <v>948.58247413019819</v>
      </c>
      <c r="I12" s="64">
        <f t="shared" si="4"/>
        <v>7398.9432982155458</v>
      </c>
      <c r="J12" s="47">
        <f t="shared" ref="J12:J28" si="8">J11*1.01</f>
        <v>4.3993852699999998</v>
      </c>
      <c r="K12" s="65">
        <v>40</v>
      </c>
      <c r="L12" s="65">
        <f t="shared" si="5"/>
        <v>46.848009568731854</v>
      </c>
      <c r="M12" s="65">
        <f t="shared" si="2"/>
        <v>41.623849722448512</v>
      </c>
      <c r="N12" s="64">
        <f t="shared" si="7"/>
        <v>183.11935134963358</v>
      </c>
      <c r="O12" s="24"/>
      <c r="P12" s="24"/>
      <c r="R12" s="25"/>
      <c r="S12" s="26"/>
      <c r="T12" s="26"/>
      <c r="U12" s="26"/>
      <c r="V12" s="13"/>
      <c r="AA12" s="1"/>
      <c r="AC12" s="1"/>
    </row>
    <row r="13" spans="1:29" x14ac:dyDescent="0.25">
      <c r="A13" s="66">
        <v>5</v>
      </c>
      <c r="B13" s="43">
        <v>2027</v>
      </c>
      <c r="C13" s="43">
        <f t="shared" si="0"/>
        <v>5249.6893088849338</v>
      </c>
      <c r="D13" s="44">
        <v>1</v>
      </c>
      <c r="E13" s="66">
        <v>1</v>
      </c>
      <c r="F13" s="44">
        <f t="shared" si="6"/>
        <v>52.49689308884934</v>
      </c>
      <c r="G13" s="44">
        <f>F13*365</f>
        <v>19161.36597743001</v>
      </c>
      <c r="H13" s="44">
        <f t="shared" si="3"/>
        <v>958.06829887150047</v>
      </c>
      <c r="I13" s="67">
        <f t="shared" si="4"/>
        <v>7472.932731197704</v>
      </c>
      <c r="J13" s="43">
        <f t="shared" si="8"/>
        <v>4.4433791226999997</v>
      </c>
      <c r="K13" s="68">
        <v>42</v>
      </c>
      <c r="L13" s="68">
        <f t="shared" si="5"/>
        <v>49.190410047168442</v>
      </c>
      <c r="M13" s="68">
        <f t="shared" si="2"/>
        <v>42.43207981414654</v>
      </c>
      <c r="N13" s="67">
        <f t="shared" si="7"/>
        <v>188.54181757891882</v>
      </c>
      <c r="O13" s="24"/>
      <c r="P13" s="24"/>
      <c r="R13" s="25"/>
      <c r="S13" s="26"/>
      <c r="T13" s="26"/>
      <c r="U13" s="26"/>
      <c r="V13" s="13"/>
      <c r="AA13" s="1"/>
      <c r="AC13" s="1"/>
    </row>
    <row r="14" spans="1:29" x14ac:dyDescent="0.25">
      <c r="A14" s="53">
        <v>6</v>
      </c>
      <c r="B14" s="47">
        <v>2028</v>
      </c>
      <c r="C14" s="47">
        <f t="shared" si="0"/>
        <v>5302.1862019737828</v>
      </c>
      <c r="D14" s="48">
        <v>1</v>
      </c>
      <c r="E14" s="53">
        <v>1</v>
      </c>
      <c r="F14" s="48">
        <f t="shared" si="6"/>
        <v>53.021862019737824</v>
      </c>
      <c r="G14" s="48">
        <f>F14*366</f>
        <v>19406.001499224043</v>
      </c>
      <c r="H14" s="48">
        <f t="shared" si="3"/>
        <v>970.3000749612022</v>
      </c>
      <c r="I14" s="64">
        <f t="shared" si="4"/>
        <v>7568.3405846973774</v>
      </c>
      <c r="J14" s="47">
        <f t="shared" si="8"/>
        <v>4.4878129139269998</v>
      </c>
      <c r="K14" s="65">
        <v>43</v>
      </c>
      <c r="L14" s="65">
        <f t="shared" si="5"/>
        <v>50.361610286386743</v>
      </c>
      <c r="M14" s="65">
        <f t="shared" si="2"/>
        <v>42.177055756086489</v>
      </c>
      <c r="N14" s="64">
        <f t="shared" si="7"/>
        <v>189.28273549358406</v>
      </c>
      <c r="O14" s="24"/>
      <c r="P14" s="24"/>
      <c r="R14" s="25"/>
      <c r="S14" s="26"/>
      <c r="T14" s="26"/>
      <c r="U14" s="26"/>
      <c r="V14" s="13"/>
      <c r="AA14" s="1"/>
      <c r="AC14" s="1"/>
    </row>
    <row r="15" spans="1:29" x14ac:dyDescent="0.25">
      <c r="A15" s="66">
        <v>7</v>
      </c>
      <c r="B15" s="43">
        <v>2029</v>
      </c>
      <c r="C15" s="43">
        <f t="shared" si="0"/>
        <v>5355.2080639935193</v>
      </c>
      <c r="D15" s="44">
        <v>1</v>
      </c>
      <c r="E15" s="66">
        <v>1</v>
      </c>
      <c r="F15" s="44">
        <f t="shared" si="6"/>
        <v>53.552080639935191</v>
      </c>
      <c r="G15" s="44">
        <f t="shared" ref="G15:G28" si="9">F15*365</f>
        <v>19546.509433576346</v>
      </c>
      <c r="H15" s="44">
        <f t="shared" si="3"/>
        <v>977.32547167881728</v>
      </c>
      <c r="I15" s="67">
        <f t="shared" si="4"/>
        <v>7623.1386790947754</v>
      </c>
      <c r="J15" s="43">
        <f t="shared" si="8"/>
        <v>4.5326910430662695</v>
      </c>
      <c r="K15" s="68">
        <v>43</v>
      </c>
      <c r="L15" s="68">
        <f t="shared" si="5"/>
        <v>50.361610286386743</v>
      </c>
      <c r="M15" s="68">
        <f t="shared" si="2"/>
        <v>40.948597821443187</v>
      </c>
      <c r="N15" s="67">
        <f t="shared" si="7"/>
        <v>185.6073425713785</v>
      </c>
      <c r="O15" s="24"/>
      <c r="P15" s="24"/>
      <c r="R15" s="25"/>
      <c r="S15" s="26"/>
      <c r="T15" s="26"/>
      <c r="U15" s="26"/>
      <c r="V15" s="13"/>
      <c r="AA15" s="1"/>
      <c r="AC15" s="1"/>
    </row>
    <row r="16" spans="1:29" x14ac:dyDescent="0.25">
      <c r="A16" s="53">
        <v>8</v>
      </c>
      <c r="B16" s="47">
        <v>2030</v>
      </c>
      <c r="C16" s="47">
        <f t="shared" si="0"/>
        <v>5408.7601446334547</v>
      </c>
      <c r="D16" s="48">
        <v>1</v>
      </c>
      <c r="E16" s="53">
        <v>1</v>
      </c>
      <c r="F16" s="48">
        <f t="shared" si="6"/>
        <v>54.087601446334546</v>
      </c>
      <c r="G16" s="48">
        <f t="shared" si="9"/>
        <v>19741.974527912109</v>
      </c>
      <c r="H16" s="48">
        <f t="shared" si="3"/>
        <v>987.09872639560547</v>
      </c>
      <c r="I16" s="64">
        <f t="shared" si="4"/>
        <v>7699.3700658857224</v>
      </c>
      <c r="J16" s="47">
        <f t="shared" si="8"/>
        <v>4.5780179534969321</v>
      </c>
      <c r="K16" s="65">
        <v>44</v>
      </c>
      <c r="L16" s="65">
        <f t="shared" si="5"/>
        <v>51.532810525605036</v>
      </c>
      <c r="M16" s="65">
        <f t="shared" si="2"/>
        <v>40.680476499063005</v>
      </c>
      <c r="N16" s="64">
        <f t="shared" si="7"/>
        <v>186.23595176952045</v>
      </c>
      <c r="O16" s="24"/>
      <c r="P16" s="24"/>
      <c r="R16" s="25"/>
      <c r="S16" s="26"/>
      <c r="T16" s="26"/>
      <c r="U16" s="26"/>
      <c r="V16" s="13"/>
      <c r="AA16" s="1"/>
      <c r="AC16" s="1"/>
    </row>
    <row r="17" spans="1:29" x14ac:dyDescent="0.25">
      <c r="A17" s="66">
        <v>9</v>
      </c>
      <c r="B17" s="43">
        <v>2031</v>
      </c>
      <c r="C17" s="43">
        <f t="shared" si="0"/>
        <v>5462.8477460797894</v>
      </c>
      <c r="D17" s="44">
        <v>1</v>
      </c>
      <c r="E17" s="66">
        <v>1</v>
      </c>
      <c r="F17" s="44">
        <f t="shared" si="6"/>
        <v>54.628477460797896</v>
      </c>
      <c r="G17" s="44">
        <f t="shared" si="9"/>
        <v>19939.394273191232</v>
      </c>
      <c r="H17" s="44">
        <f t="shared" si="3"/>
        <v>996.96971365956165</v>
      </c>
      <c r="I17" s="67">
        <f t="shared" si="4"/>
        <v>7776.3637665445804</v>
      </c>
      <c r="J17" s="43">
        <f t="shared" si="8"/>
        <v>4.6237981330319018</v>
      </c>
      <c r="K17" s="68">
        <v>45</v>
      </c>
      <c r="L17" s="68">
        <f t="shared" si="5"/>
        <v>52.70401076482333</v>
      </c>
      <c r="M17" s="68">
        <f t="shared" si="2"/>
        <v>40.393235711779234</v>
      </c>
      <c r="N17" s="67">
        <f t="shared" si="7"/>
        <v>186.77016787124236</v>
      </c>
      <c r="O17" s="24"/>
      <c r="P17" s="24"/>
      <c r="Q17" s="25"/>
      <c r="R17" s="25"/>
      <c r="S17" s="26"/>
      <c r="T17" s="26"/>
      <c r="U17" s="26"/>
      <c r="V17" s="13"/>
      <c r="AA17" s="1"/>
      <c r="AC17" s="1"/>
    </row>
    <row r="18" spans="1:29" x14ac:dyDescent="0.25">
      <c r="A18" s="53">
        <v>10</v>
      </c>
      <c r="B18" s="47">
        <v>2032</v>
      </c>
      <c r="C18" s="47">
        <f t="shared" si="0"/>
        <v>5517.4762235405879</v>
      </c>
      <c r="D18" s="48">
        <v>1</v>
      </c>
      <c r="E18" s="53">
        <v>1</v>
      </c>
      <c r="F18" s="48">
        <f t="shared" si="6"/>
        <v>55.174762235405879</v>
      </c>
      <c r="G18" s="48">
        <f>F18*366</f>
        <v>20193.96297815855</v>
      </c>
      <c r="H18" s="48">
        <f t="shared" si="3"/>
        <v>1009.6981489079275</v>
      </c>
      <c r="I18" s="64">
        <f t="shared" si="4"/>
        <v>7875.6455614818351</v>
      </c>
      <c r="J18" s="47">
        <f t="shared" si="8"/>
        <v>4.6700361143622207</v>
      </c>
      <c r="K18" s="65">
        <v>46</v>
      </c>
      <c r="L18" s="65">
        <f t="shared" si="5"/>
        <v>53.875211004041631</v>
      </c>
      <c r="M18" s="65">
        <f t="shared" si="2"/>
        <v>40.088216671884467</v>
      </c>
      <c r="N18" s="64">
        <f t="shared" si="7"/>
        <v>187.21341961807812</v>
      </c>
      <c r="O18" s="24"/>
      <c r="P18" s="24"/>
      <c r="Q18" s="25"/>
      <c r="R18" s="25"/>
      <c r="S18" s="26"/>
      <c r="T18" s="26"/>
      <c r="U18" s="26"/>
      <c r="V18" s="13"/>
      <c r="AA18" s="1"/>
      <c r="AC18" s="1"/>
    </row>
    <row r="19" spans="1:29" x14ac:dyDescent="0.25">
      <c r="A19" s="66">
        <v>11</v>
      </c>
      <c r="B19" s="43">
        <v>2033</v>
      </c>
      <c r="C19" s="43">
        <f t="shared" si="0"/>
        <v>5572.6509857759929</v>
      </c>
      <c r="D19" s="44">
        <v>1</v>
      </c>
      <c r="E19" s="66">
        <v>1</v>
      </c>
      <c r="F19" s="44">
        <f t="shared" si="6"/>
        <v>55.726509857759929</v>
      </c>
      <c r="G19" s="44">
        <f t="shared" si="9"/>
        <v>20340.176098082375</v>
      </c>
      <c r="H19" s="44">
        <f t="shared" si="3"/>
        <v>1017.0088049041187</v>
      </c>
      <c r="I19" s="67">
        <f t="shared" si="4"/>
        <v>7932.6686782521265</v>
      </c>
      <c r="J19" s="43">
        <f t="shared" si="8"/>
        <v>4.7167364755058427</v>
      </c>
      <c r="K19" s="68">
        <v>47</v>
      </c>
      <c r="L19" s="68">
        <f t="shared" si="5"/>
        <v>55.046411243259925</v>
      </c>
      <c r="M19" s="68">
        <f t="shared" si="2"/>
        <v>39.766698682536294</v>
      </c>
      <c r="N19" s="67">
        <f t="shared" si="7"/>
        <v>187.56903818636908</v>
      </c>
      <c r="O19" s="24"/>
      <c r="P19" s="24"/>
      <c r="Q19" s="25"/>
      <c r="R19" s="25"/>
      <c r="S19" s="26"/>
      <c r="T19" s="26"/>
      <c r="U19" s="26"/>
      <c r="V19" s="13"/>
      <c r="AA19" s="1"/>
      <c r="AC19" s="1"/>
    </row>
    <row r="20" spans="1:29" x14ac:dyDescent="0.25">
      <c r="A20" s="53">
        <v>12</v>
      </c>
      <c r="B20" s="47">
        <v>2034</v>
      </c>
      <c r="C20" s="47">
        <f t="shared" si="0"/>
        <v>5628.3774956337538</v>
      </c>
      <c r="D20" s="48">
        <v>1</v>
      </c>
      <c r="E20" s="53">
        <v>1</v>
      </c>
      <c r="F20" s="48">
        <f t="shared" si="6"/>
        <v>56.283774956337538</v>
      </c>
      <c r="G20" s="48">
        <f t="shared" si="9"/>
        <v>20543.5778590632</v>
      </c>
      <c r="H20" s="48">
        <f t="shared" si="3"/>
        <v>1027.1788929531599</v>
      </c>
      <c r="I20" s="64">
        <f t="shared" si="4"/>
        <v>8011.9953650346479</v>
      </c>
      <c r="J20" s="47">
        <f t="shared" si="8"/>
        <v>4.7639038402609009</v>
      </c>
      <c r="K20" s="65">
        <v>48</v>
      </c>
      <c r="L20" s="65">
        <f t="shared" si="5"/>
        <v>56.217611482478219</v>
      </c>
      <c r="M20" s="65">
        <f t="shared" si="2"/>
        <v>39.429901606315688</v>
      </c>
      <c r="N20" s="64">
        <f t="shared" si="7"/>
        <v>187.84025968343678</v>
      </c>
      <c r="O20" s="24"/>
      <c r="P20" s="24"/>
      <c r="Q20" s="25"/>
      <c r="R20" s="25"/>
      <c r="S20" s="26"/>
      <c r="T20" s="26"/>
      <c r="U20" s="26"/>
      <c r="V20" s="13"/>
      <c r="AA20" s="1"/>
      <c r="AC20" s="1"/>
    </row>
    <row r="21" spans="1:29" x14ac:dyDescent="0.25">
      <c r="A21" s="66">
        <v>13</v>
      </c>
      <c r="B21" s="43">
        <v>2035</v>
      </c>
      <c r="C21" s="43">
        <f t="shared" si="0"/>
        <v>5684.6612705900916</v>
      </c>
      <c r="D21" s="44">
        <v>1</v>
      </c>
      <c r="E21" s="66">
        <v>1</v>
      </c>
      <c r="F21" s="44">
        <f t="shared" si="6"/>
        <v>56.846612705900917</v>
      </c>
      <c r="G21" s="44">
        <f t="shared" si="9"/>
        <v>20749.013637653836</v>
      </c>
      <c r="H21" s="44">
        <f t="shared" si="3"/>
        <v>1037.4506818826917</v>
      </c>
      <c r="I21" s="67">
        <f t="shared" si="4"/>
        <v>8092.1153186849961</v>
      </c>
      <c r="J21" s="43">
        <f t="shared" si="8"/>
        <v>4.8115428786635102</v>
      </c>
      <c r="K21" s="68">
        <v>49</v>
      </c>
      <c r="L21" s="68">
        <f t="shared" si="5"/>
        <v>57.38881172169652</v>
      </c>
      <c r="M21" s="68">
        <f t="shared" si="2"/>
        <v>39.078988242505439</v>
      </c>
      <c r="N21" s="67">
        <f t="shared" si="7"/>
        <v>188.03022758360208</v>
      </c>
      <c r="O21" s="24"/>
      <c r="P21" s="24"/>
      <c r="Q21" s="25"/>
      <c r="R21" s="25"/>
      <c r="S21" s="26"/>
      <c r="T21" s="26"/>
      <c r="U21" s="26"/>
      <c r="V21" s="13"/>
      <c r="AA21" s="1"/>
      <c r="AC21" s="1"/>
    </row>
    <row r="22" spans="1:29" x14ac:dyDescent="0.25">
      <c r="A22" s="53">
        <v>14</v>
      </c>
      <c r="B22" s="47">
        <v>2036</v>
      </c>
      <c r="C22" s="47">
        <f t="shared" si="0"/>
        <v>5741.5078832959935</v>
      </c>
      <c r="D22" s="48">
        <v>1</v>
      </c>
      <c r="E22" s="53">
        <v>1</v>
      </c>
      <c r="F22" s="48">
        <f t="shared" si="6"/>
        <v>57.415078832959935</v>
      </c>
      <c r="G22" s="48">
        <f>F22*366</f>
        <v>21013.918852863335</v>
      </c>
      <c r="H22" s="48">
        <f t="shared" si="3"/>
        <v>1050.6959426431667</v>
      </c>
      <c r="I22" s="64">
        <f t="shared" si="4"/>
        <v>8195.4283526167001</v>
      </c>
      <c r="J22" s="47">
        <f t="shared" si="8"/>
        <v>4.8596583074501449</v>
      </c>
      <c r="K22" s="65">
        <v>50</v>
      </c>
      <c r="L22" s="65">
        <f t="shared" si="5"/>
        <v>58.560011960914814</v>
      </c>
      <c r="M22" s="65">
        <f t="shared" si="2"/>
        <v>38.7150666163121</v>
      </c>
      <c r="N22" s="64">
        <f t="shared" si="7"/>
        <v>188.14199510544688</v>
      </c>
      <c r="O22" s="24"/>
      <c r="P22" s="24"/>
      <c r="Q22" s="25"/>
      <c r="R22" s="25"/>
      <c r="S22" s="26"/>
      <c r="T22" s="26"/>
      <c r="U22" s="26"/>
      <c r="V22" s="13"/>
      <c r="AA22" s="1"/>
      <c r="AC22" s="1"/>
    </row>
    <row r="23" spans="1:29" x14ac:dyDescent="0.25">
      <c r="A23" s="66">
        <v>15</v>
      </c>
      <c r="B23" s="43">
        <v>2037</v>
      </c>
      <c r="C23" s="43">
        <f t="shared" si="0"/>
        <v>5798.9229621289514</v>
      </c>
      <c r="D23" s="44">
        <v>1</v>
      </c>
      <c r="E23" s="66">
        <v>1</v>
      </c>
      <c r="F23" s="44">
        <f t="shared" si="6"/>
        <v>57.989229621289518</v>
      </c>
      <c r="G23" s="44">
        <f t="shared" si="9"/>
        <v>21166.068811770674</v>
      </c>
      <c r="H23" s="44">
        <f t="shared" si="3"/>
        <v>1058.3034405885337</v>
      </c>
      <c r="I23" s="67">
        <f t="shared" si="4"/>
        <v>8254.7668365905629</v>
      </c>
      <c r="J23" s="43">
        <f t="shared" si="8"/>
        <v>4.9082548905246464</v>
      </c>
      <c r="K23" s="68">
        <v>51</v>
      </c>
      <c r="L23" s="68">
        <f t="shared" si="5"/>
        <v>59.731212200133115</v>
      </c>
      <c r="M23" s="68">
        <f t="shared" si="2"/>
        <v>38.339192183144021</v>
      </c>
      <c r="N23" s="67">
        <f t="shared" si="7"/>
        <v>188.17852753168094</v>
      </c>
      <c r="O23" s="24"/>
      <c r="P23" s="24"/>
      <c r="Q23" s="25"/>
      <c r="R23" s="25"/>
      <c r="S23" s="26"/>
      <c r="T23" s="26"/>
      <c r="U23" s="26"/>
      <c r="V23" s="13"/>
      <c r="AA23" s="1"/>
      <c r="AC23" s="1"/>
    </row>
    <row r="24" spans="1:29" x14ac:dyDescent="0.25">
      <c r="A24" s="53">
        <v>16</v>
      </c>
      <c r="B24" s="47">
        <v>2038</v>
      </c>
      <c r="C24" s="47">
        <f t="shared" si="0"/>
        <v>5856.9121917502416</v>
      </c>
      <c r="D24" s="48">
        <v>1</v>
      </c>
      <c r="E24" s="53">
        <v>1</v>
      </c>
      <c r="F24" s="48">
        <f t="shared" si="6"/>
        <v>58.569121917502414</v>
      </c>
      <c r="G24" s="48">
        <f t="shared" si="9"/>
        <v>21377.729499888381</v>
      </c>
      <c r="H24" s="48">
        <f t="shared" si="3"/>
        <v>1068.8864749944191</v>
      </c>
      <c r="I24" s="64">
        <f t="shared" si="4"/>
        <v>8337.3145049564682</v>
      </c>
      <c r="J24" s="47">
        <f t="shared" si="8"/>
        <v>4.9573374394298932</v>
      </c>
      <c r="K24" s="65">
        <v>52</v>
      </c>
      <c r="L24" s="65">
        <f t="shared" si="5"/>
        <v>60.902412439351409</v>
      </c>
      <c r="M24" s="65">
        <f t="shared" si="2"/>
        <v>37.952369950951635</v>
      </c>
      <c r="N24" s="64">
        <f t="shared" si="7"/>
        <v>188.1427044729466</v>
      </c>
      <c r="O24" s="24"/>
      <c r="P24" s="24"/>
      <c r="Q24" s="25"/>
      <c r="R24" s="25"/>
      <c r="S24" s="26"/>
      <c r="T24" s="26"/>
      <c r="U24" s="26"/>
      <c r="V24" s="13"/>
      <c r="AA24" s="1"/>
      <c r="AC24" s="1"/>
    </row>
    <row r="25" spans="1:29" x14ac:dyDescent="0.25">
      <c r="A25" s="66">
        <v>17</v>
      </c>
      <c r="B25" s="43">
        <v>2039</v>
      </c>
      <c r="C25" s="43">
        <f t="shared" si="0"/>
        <v>5915.481313667744</v>
      </c>
      <c r="D25" s="44">
        <v>1</v>
      </c>
      <c r="E25" s="66">
        <v>1</v>
      </c>
      <c r="F25" s="44">
        <f t="shared" si="6"/>
        <v>59.15481313667744</v>
      </c>
      <c r="G25" s="44">
        <f t="shared" si="9"/>
        <v>21591.506794887264</v>
      </c>
      <c r="H25" s="44">
        <f t="shared" si="3"/>
        <v>1079.5753397443632</v>
      </c>
      <c r="I25" s="67">
        <f t="shared" si="4"/>
        <v>8420.6876500060334</v>
      </c>
      <c r="J25" s="43">
        <f t="shared" si="8"/>
        <v>5.0069108138241925</v>
      </c>
      <c r="K25" s="68">
        <v>52</v>
      </c>
      <c r="L25" s="68">
        <f t="shared" si="5"/>
        <v>60.902412439351409</v>
      </c>
      <c r="M25" s="68">
        <f t="shared" si="2"/>
        <v>36.846961117428776</v>
      </c>
      <c r="N25" s="67">
        <f t="shared" si="7"/>
        <v>184.48944807541369</v>
      </c>
      <c r="O25" s="24"/>
      <c r="P25" s="24"/>
      <c r="Q25" s="25"/>
      <c r="R25" s="25"/>
      <c r="S25" s="26"/>
      <c r="T25" s="26"/>
      <c r="U25" s="26"/>
      <c r="V25" s="13"/>
      <c r="AA25" s="1"/>
      <c r="AC25" s="1"/>
    </row>
    <row r="26" spans="1:29" x14ac:dyDescent="0.25">
      <c r="A26" s="53">
        <v>18</v>
      </c>
      <c r="B26" s="47">
        <v>2040</v>
      </c>
      <c r="C26" s="47">
        <f t="shared" si="0"/>
        <v>5974.6361268044229</v>
      </c>
      <c r="D26" s="48">
        <v>1</v>
      </c>
      <c r="E26" s="53">
        <v>1</v>
      </c>
      <c r="F26" s="48">
        <f t="shared" si="6"/>
        <v>59.746361268044232</v>
      </c>
      <c r="G26" s="48">
        <f>F26*366</f>
        <v>21867.168224104189</v>
      </c>
      <c r="H26" s="48">
        <f t="shared" si="3"/>
        <v>1093.3584112052094</v>
      </c>
      <c r="I26" s="64">
        <f t="shared" si="4"/>
        <v>8528.1956074006339</v>
      </c>
      <c r="J26" s="47">
        <f t="shared" si="8"/>
        <v>5.0569799219624345</v>
      </c>
      <c r="K26" s="65">
        <v>53</v>
      </c>
      <c r="L26" s="65">
        <f t="shared" si="5"/>
        <v>62.073612678569702</v>
      </c>
      <c r="M26" s="65">
        <f t="shared" si="2"/>
        <v>36.461705362653561</v>
      </c>
      <c r="N26" s="64">
        <f t="shared" si="7"/>
        <v>184.38611193944908</v>
      </c>
      <c r="O26" s="24"/>
      <c r="P26" s="24"/>
      <c r="Q26" s="25"/>
      <c r="R26" s="25"/>
      <c r="S26" s="26"/>
      <c r="T26" s="26"/>
      <c r="U26" s="26"/>
      <c r="V26" s="13"/>
      <c r="AA26" s="1"/>
      <c r="AC26" s="1"/>
    </row>
    <row r="27" spans="1:29" x14ac:dyDescent="0.25">
      <c r="A27" s="66">
        <v>19</v>
      </c>
      <c r="B27" s="43">
        <v>2041</v>
      </c>
      <c r="C27" s="43">
        <f t="shared" si="0"/>
        <v>6034.382488072466</v>
      </c>
      <c r="D27" s="44">
        <v>1</v>
      </c>
      <c r="E27" s="66">
        <v>1</v>
      </c>
      <c r="F27" s="44">
        <f t="shared" si="6"/>
        <v>60.343824880724661</v>
      </c>
      <c r="G27" s="44">
        <f t="shared" si="9"/>
        <v>22025.496081464502</v>
      </c>
      <c r="H27" s="44">
        <f t="shared" si="3"/>
        <v>1101.2748040732251</v>
      </c>
      <c r="I27" s="67">
        <f t="shared" si="4"/>
        <v>8589.9434717711556</v>
      </c>
      <c r="J27" s="43">
        <f t="shared" si="8"/>
        <v>5.1075497211820586</v>
      </c>
      <c r="K27" s="68">
        <v>54</v>
      </c>
      <c r="L27" s="68">
        <f t="shared" si="5"/>
        <v>63.244812917788003</v>
      </c>
      <c r="M27" s="68">
        <f t="shared" si="2"/>
        <v>36.06763307534883</v>
      </c>
      <c r="N27" s="67">
        <f t="shared" si="7"/>
        <v>184.21722925769473</v>
      </c>
      <c r="O27" s="24"/>
      <c r="P27" s="24"/>
      <c r="Q27" s="25"/>
      <c r="R27" s="25"/>
      <c r="S27" s="26"/>
      <c r="T27" s="26"/>
      <c r="U27" s="26"/>
      <c r="V27" s="13"/>
      <c r="AA27" s="1"/>
      <c r="AC27" s="1"/>
    </row>
    <row r="28" spans="1:29" x14ac:dyDescent="0.25">
      <c r="A28" s="53">
        <v>20</v>
      </c>
      <c r="B28" s="47">
        <v>2042</v>
      </c>
      <c r="C28" s="47">
        <f t="shared" si="0"/>
        <v>6094.7263129531921</v>
      </c>
      <c r="D28" s="48">
        <v>1</v>
      </c>
      <c r="E28" s="53">
        <v>1</v>
      </c>
      <c r="F28" s="48">
        <f>C28*D28/100*E28</f>
        <v>60.947263129531919</v>
      </c>
      <c r="G28" s="48">
        <f t="shared" si="9"/>
        <v>22245.751042279149</v>
      </c>
      <c r="H28" s="48">
        <f t="shared" si="3"/>
        <v>1112.2875521139574</v>
      </c>
      <c r="I28" s="64">
        <f t="shared" si="4"/>
        <v>8675.8429064888678</v>
      </c>
      <c r="J28" s="47">
        <f t="shared" si="8"/>
        <v>5.1586252183938797</v>
      </c>
      <c r="K28" s="65">
        <v>55</v>
      </c>
      <c r="L28" s="65">
        <f t="shared" si="5"/>
        <v>64.41601315700629</v>
      </c>
      <c r="M28" s="65">
        <f t="shared" si="2"/>
        <v>35.665584666382337</v>
      </c>
      <c r="N28" s="64">
        <f t="shared" si="7"/>
        <v>183.98538448876198</v>
      </c>
      <c r="O28" s="24"/>
      <c r="P28" s="24"/>
      <c r="Q28" s="25"/>
      <c r="R28" s="25"/>
      <c r="S28" s="26"/>
      <c r="T28" s="26"/>
      <c r="U28" s="26"/>
      <c r="V28" s="13"/>
      <c r="AA28" s="1"/>
      <c r="AC28" s="1"/>
    </row>
    <row r="29" spans="1:29" x14ac:dyDescent="0.25">
      <c r="A29" s="66"/>
      <c r="B29" s="43"/>
      <c r="C29" s="43"/>
      <c r="D29" s="44"/>
      <c r="E29" s="66"/>
      <c r="F29" s="44"/>
      <c r="G29" s="44"/>
      <c r="H29" s="44"/>
      <c r="I29" s="67"/>
      <c r="J29" s="43"/>
      <c r="K29" s="68"/>
      <c r="L29" s="68"/>
      <c r="M29" s="68"/>
      <c r="N29" s="67"/>
      <c r="O29" s="24"/>
      <c r="P29" s="24"/>
      <c r="Q29" s="25"/>
      <c r="R29" s="25"/>
      <c r="S29" s="26"/>
      <c r="T29" s="26"/>
      <c r="U29" s="26"/>
      <c r="V29" s="13"/>
      <c r="AA29" s="1"/>
      <c r="AC29" s="1"/>
    </row>
    <row r="30" spans="1:29" ht="15.75" thickBot="1" x14ac:dyDescent="0.3">
      <c r="A30" s="91"/>
      <c r="B30" s="91"/>
      <c r="C30" s="111"/>
      <c r="D30" s="111"/>
      <c r="E30" s="111"/>
      <c r="F30" s="112"/>
      <c r="G30" s="113">
        <f>SUM(G4:G29)</f>
        <v>405727.55852657836</v>
      </c>
      <c r="H30" s="113">
        <f>SUM(H4:H29)</f>
        <v>20286.377926328914</v>
      </c>
      <c r="I30" s="114">
        <f>SUM(I9:I28)</f>
        <v>158233.74782536557</v>
      </c>
      <c r="J30" s="113">
        <f>SUM(J4:J29)</f>
        <v>94.021147057781832</v>
      </c>
      <c r="K30" s="111"/>
      <c r="L30" s="111"/>
      <c r="M30" s="111"/>
      <c r="N30" s="114">
        <f>SUM(N4:N29)</f>
        <v>3714.3982614038405</v>
      </c>
      <c r="O30" s="27"/>
      <c r="P30" s="27"/>
      <c r="Q30" s="14"/>
      <c r="R30" s="14"/>
      <c r="S30" s="11"/>
      <c r="T30" s="11"/>
      <c r="U30" s="10"/>
      <c r="V30" s="14"/>
    </row>
    <row r="31" spans="1:29" x14ac:dyDescent="0.25">
      <c r="P31" s="1"/>
      <c r="Q31" s="1"/>
      <c r="R31"/>
      <c r="S31"/>
    </row>
    <row r="32" spans="1:29" x14ac:dyDescent="0.25">
      <c r="A32" t="s">
        <v>53</v>
      </c>
      <c r="B32" s="20"/>
      <c r="T32" s="63"/>
    </row>
    <row r="33" spans="1:16" x14ac:dyDescent="0.25">
      <c r="A33" s="20" t="s">
        <v>52</v>
      </c>
      <c r="B33" s="1"/>
    </row>
    <row r="34" spans="1:16" x14ac:dyDescent="0.25">
      <c r="A34" s="20" t="s">
        <v>194</v>
      </c>
      <c r="P34" s="20"/>
    </row>
    <row r="35" spans="1:16" x14ac:dyDescent="0.25">
      <c r="A35" s="20" t="s">
        <v>55</v>
      </c>
      <c r="P35" s="20"/>
    </row>
    <row r="36" spans="1:16" x14ac:dyDescent="0.25">
      <c r="A36" s="20" t="s">
        <v>56</v>
      </c>
      <c r="P36" s="20"/>
    </row>
    <row r="37" spans="1:16" x14ac:dyDescent="0.25">
      <c r="A37" s="20" t="s">
        <v>57</v>
      </c>
    </row>
    <row r="38" spans="1:16" x14ac:dyDescent="0.25">
      <c r="A38" s="20" t="s">
        <v>68</v>
      </c>
    </row>
    <row r="39" spans="1:16" x14ac:dyDescent="0.25">
      <c r="A39" s="20" t="s">
        <v>48</v>
      </c>
    </row>
    <row r="40" spans="1:16" x14ac:dyDescent="0.25">
      <c r="A40" s="20" t="s">
        <v>149</v>
      </c>
    </row>
    <row r="41" spans="1:16" x14ac:dyDescent="0.25">
      <c r="A41" s="20" t="s">
        <v>58</v>
      </c>
    </row>
    <row r="42" spans="1:16" x14ac:dyDescent="0.25">
      <c r="A42" s="20" t="s">
        <v>35</v>
      </c>
    </row>
    <row r="43" spans="1:16" x14ac:dyDescent="0.25">
      <c r="A43" s="20" t="s">
        <v>43</v>
      </c>
    </row>
    <row r="44" spans="1:16" x14ac:dyDescent="0.25">
      <c r="A44" s="20" t="s">
        <v>80</v>
      </c>
    </row>
    <row r="45" spans="1:16" x14ac:dyDescent="0.25">
      <c r="A45" s="18" t="s">
        <v>66</v>
      </c>
    </row>
    <row r="46" spans="1:16" x14ac:dyDescent="0.25">
      <c r="A46" s="18"/>
    </row>
    <row r="47" spans="1:16" x14ac:dyDescent="0.25">
      <c r="A47" s="32" t="s">
        <v>110</v>
      </c>
    </row>
    <row r="48" spans="1:16" x14ac:dyDescent="0.25">
      <c r="A48" s="19"/>
    </row>
    <row r="49" spans="1:19" x14ac:dyDescent="0.25">
      <c r="A49" s="18" t="s">
        <v>38</v>
      </c>
    </row>
    <row r="50" spans="1:19" x14ac:dyDescent="0.25">
      <c r="A50" s="133" t="s">
        <v>212</v>
      </c>
      <c r="B50" s="133"/>
      <c r="C50" s="133"/>
      <c r="E50" s="133" t="s">
        <v>213</v>
      </c>
      <c r="F50" s="133"/>
    </row>
    <row r="51" spans="1:19" ht="45" x14ac:dyDescent="0.25">
      <c r="A51" s="92" t="s">
        <v>44</v>
      </c>
      <c r="B51" s="92" t="s">
        <v>140</v>
      </c>
      <c r="C51" s="92" t="s">
        <v>141</v>
      </c>
      <c r="D51" s="69"/>
      <c r="E51" s="92" t="s">
        <v>142</v>
      </c>
      <c r="F51" s="92" t="s">
        <v>143</v>
      </c>
      <c r="R51"/>
      <c r="S51"/>
    </row>
    <row r="52" spans="1:19" x14ac:dyDescent="0.25">
      <c r="A52" s="66">
        <v>1</v>
      </c>
      <c r="B52" s="68">
        <f t="shared" ref="B52:B71" si="10">I9/1.03^A52</f>
        <v>6972.1761847798834</v>
      </c>
      <c r="C52" s="68">
        <f t="shared" ref="C52:C71" si="11">N9</f>
        <v>179.64847164475594</v>
      </c>
      <c r="D52" s="69"/>
      <c r="E52" s="68">
        <f>B52/(1.07/1.03)^A52</f>
        <v>6711.5340844142802</v>
      </c>
      <c r="F52" s="68">
        <f>C52/(1.07/1.03)^A52</f>
        <v>172.93264092906415</v>
      </c>
      <c r="R52"/>
      <c r="S52"/>
    </row>
    <row r="53" spans="1:19" x14ac:dyDescent="0.25">
      <c r="A53" s="53">
        <v>2</v>
      </c>
      <c r="B53" s="65">
        <f t="shared" si="10"/>
        <v>6855.5250657420729</v>
      </c>
      <c r="C53" s="65">
        <f t="shared" si="11"/>
        <v>180.92123699096649</v>
      </c>
      <c r="D53" s="69"/>
      <c r="E53" s="65">
        <f t="shared" ref="E53:E71" si="12">B53/(1.07/1.03)^A53</f>
        <v>6352.5430537564553</v>
      </c>
      <c r="F53" s="65">
        <f t="shared" ref="F53:F71" si="13">C53/(1.07/1.03)^A53</f>
        <v>167.647253317946</v>
      </c>
      <c r="R53"/>
      <c r="S53"/>
    </row>
    <row r="54" spans="1:19" x14ac:dyDescent="0.25">
      <c r="A54" s="66">
        <v>3</v>
      </c>
      <c r="B54" s="68">
        <f t="shared" si="10"/>
        <v>6704.0408389989243</v>
      </c>
      <c r="C54" s="68">
        <f t="shared" si="11"/>
        <v>182.0768401909599</v>
      </c>
      <c r="D54" s="69"/>
      <c r="E54" s="68">
        <f t="shared" si="12"/>
        <v>5979.9422827417302</v>
      </c>
      <c r="F54" s="68">
        <f t="shared" si="13"/>
        <v>162.4108536201154</v>
      </c>
      <c r="R54"/>
      <c r="S54"/>
    </row>
    <row r="55" spans="1:19" x14ac:dyDescent="0.25">
      <c r="A55" s="53">
        <v>4</v>
      </c>
      <c r="B55" s="65">
        <f t="shared" si="10"/>
        <v>6573.8652887271019</v>
      </c>
      <c r="C55" s="65">
        <f t="shared" si="11"/>
        <v>183.11935134963358</v>
      </c>
      <c r="D55" s="69"/>
      <c r="E55" s="65">
        <f t="shared" si="12"/>
        <v>5644.6184164197657</v>
      </c>
      <c r="F55" s="65">
        <f t="shared" si="13"/>
        <v>157.23456712802931</v>
      </c>
      <c r="R55"/>
      <c r="S55"/>
    </row>
    <row r="56" spans="1:19" x14ac:dyDescent="0.25">
      <c r="A56" s="66">
        <v>5</v>
      </c>
      <c r="B56" s="68">
        <f t="shared" si="10"/>
        <v>6446.2174190430824</v>
      </c>
      <c r="C56" s="68">
        <f t="shared" si="11"/>
        <v>188.54181757891882</v>
      </c>
      <c r="D56" s="69"/>
      <c r="E56" s="68">
        <f t="shared" si="12"/>
        <v>5328.0977575551069</v>
      </c>
      <c r="F56" s="68">
        <f t="shared" si="13"/>
        <v>155.83855928904211</v>
      </c>
      <c r="R56"/>
      <c r="S56"/>
    </row>
    <row r="57" spans="1:19" x14ac:dyDescent="0.25">
      <c r="A57" s="53">
        <v>6</v>
      </c>
      <c r="B57" s="65">
        <f t="shared" si="10"/>
        <v>6338.3660889040175</v>
      </c>
      <c r="C57" s="65">
        <f t="shared" si="11"/>
        <v>189.28273549358406</v>
      </c>
      <c r="D57" s="69"/>
      <c r="E57" s="65">
        <f t="shared" si="12"/>
        <v>5043.1048958080155</v>
      </c>
      <c r="F57" s="65">
        <f t="shared" si="13"/>
        <v>150.60232821368717</v>
      </c>
      <c r="R57"/>
      <c r="S57"/>
    </row>
    <row r="58" spans="1:19" x14ac:dyDescent="0.25">
      <c r="A58" s="66">
        <v>7</v>
      </c>
      <c r="B58" s="68">
        <f t="shared" si="10"/>
        <v>6198.309349765148</v>
      </c>
      <c r="C58" s="68">
        <f t="shared" si="11"/>
        <v>185.6073425713785</v>
      </c>
      <c r="D58" s="69"/>
      <c r="E58" s="68">
        <f t="shared" si="12"/>
        <v>4747.3076447567146</v>
      </c>
      <c r="F58" s="68">
        <f t="shared" si="13"/>
        <v>142.15733784656447</v>
      </c>
      <c r="R58"/>
      <c r="S58"/>
    </row>
    <row r="59" spans="1:19" x14ac:dyDescent="0.25">
      <c r="A59" s="53">
        <v>8</v>
      </c>
      <c r="B59" s="65">
        <f t="shared" si="10"/>
        <v>6077.9538284104856</v>
      </c>
      <c r="C59" s="65">
        <f t="shared" si="11"/>
        <v>186.23595176952045</v>
      </c>
      <c r="D59" s="69"/>
      <c r="E59" s="65">
        <f t="shared" si="12"/>
        <v>4481.1034777610121</v>
      </c>
      <c r="F59" s="65">
        <f t="shared" si="13"/>
        <v>137.30650062815315</v>
      </c>
      <c r="R59"/>
      <c r="S59"/>
    </row>
    <row r="60" spans="1:19" x14ac:dyDescent="0.25">
      <c r="A60" s="66">
        <v>9</v>
      </c>
      <c r="B60" s="68">
        <f t="shared" si="10"/>
        <v>5959.9353074704759</v>
      </c>
      <c r="C60" s="68">
        <f t="shared" si="11"/>
        <v>186.77016787124236</v>
      </c>
      <c r="D60" s="69"/>
      <c r="E60" s="68">
        <f t="shared" si="12"/>
        <v>4229.8266472323567</v>
      </c>
      <c r="F60" s="68">
        <f t="shared" si="13"/>
        <v>132.55268592925998</v>
      </c>
      <c r="R60"/>
      <c r="S60"/>
    </row>
    <row r="61" spans="1:19" x14ac:dyDescent="0.25">
      <c r="A61" s="53">
        <v>10</v>
      </c>
      <c r="B61" s="65">
        <f t="shared" si="10"/>
        <v>5860.2199381820365</v>
      </c>
      <c r="C61" s="65">
        <f t="shared" si="11"/>
        <v>187.21341961807812</v>
      </c>
      <c r="D61" s="69"/>
      <c r="E61" s="65">
        <f t="shared" si="12"/>
        <v>4003.5788462832252</v>
      </c>
      <c r="F61" s="65">
        <f t="shared" si="13"/>
        <v>127.90026559238672</v>
      </c>
      <c r="R61"/>
      <c r="S61"/>
    </row>
    <row r="62" spans="1:19" x14ac:dyDescent="0.25">
      <c r="A62" s="66">
        <v>11</v>
      </c>
      <c r="B62" s="68">
        <f t="shared" si="10"/>
        <v>5730.7286333779175</v>
      </c>
      <c r="C62" s="68">
        <f t="shared" si="11"/>
        <v>187.56903818636908</v>
      </c>
      <c r="D62" s="69"/>
      <c r="E62" s="68">
        <f t="shared" si="12"/>
        <v>3768.753745167026</v>
      </c>
      <c r="F62" s="68">
        <f t="shared" si="13"/>
        <v>123.35281608432744</v>
      </c>
      <c r="R62"/>
      <c r="S62"/>
    </row>
    <row r="63" spans="1:19" x14ac:dyDescent="0.25">
      <c r="A63" s="53">
        <v>12</v>
      </c>
      <c r="B63" s="65">
        <f t="shared" si="10"/>
        <v>5619.452349234658</v>
      </c>
      <c r="C63" s="65">
        <f t="shared" si="11"/>
        <v>187.84025968343678</v>
      </c>
      <c r="D63" s="69"/>
      <c r="E63" s="65">
        <f t="shared" si="12"/>
        <v>3557.4217594567258</v>
      </c>
      <c r="F63" s="65">
        <f t="shared" si="13"/>
        <v>118.91319395045127</v>
      </c>
      <c r="R63"/>
      <c r="S63"/>
    </row>
    <row r="64" spans="1:19" x14ac:dyDescent="0.25">
      <c r="A64" s="66">
        <v>13</v>
      </c>
      <c r="B64" s="68">
        <f t="shared" si="10"/>
        <v>5510.33676963787</v>
      </c>
      <c r="C64" s="68">
        <f t="shared" si="11"/>
        <v>188.03022758360208</v>
      </c>
      <c r="D64" s="69"/>
      <c r="E64" s="68">
        <f t="shared" si="12"/>
        <v>3357.9401654684993</v>
      </c>
      <c r="F64" s="68">
        <f t="shared" si="13"/>
        <v>114.58360530778494</v>
      </c>
      <c r="R64"/>
      <c r="S64"/>
    </row>
    <row r="65" spans="1:19" x14ac:dyDescent="0.25">
      <c r="A65" s="53">
        <v>14</v>
      </c>
      <c r="B65" s="65">
        <f t="shared" si="10"/>
        <v>5418.1436102256539</v>
      </c>
      <c r="C65" s="65">
        <f t="shared" si="11"/>
        <v>188.14199510544688</v>
      </c>
      <c r="D65" s="69"/>
      <c r="E65" s="65">
        <f t="shared" si="12"/>
        <v>3178.3284126669701</v>
      </c>
      <c r="F65" s="65">
        <f t="shared" si="13"/>
        <v>110.36566980818498</v>
      </c>
      <c r="R65"/>
      <c r="S65"/>
    </row>
    <row r="66" spans="1:19" x14ac:dyDescent="0.25">
      <c r="A66" s="66">
        <v>15</v>
      </c>
      <c r="B66" s="68">
        <f t="shared" si="10"/>
        <v>5298.4207170398613</v>
      </c>
      <c r="C66" s="68">
        <f t="shared" si="11"/>
        <v>188.17852753168094</v>
      </c>
      <c r="D66" s="69"/>
      <c r="E66" s="68">
        <f t="shared" si="12"/>
        <v>2991.9073829980039</v>
      </c>
      <c r="F66" s="68">
        <f t="shared" si="13"/>
        <v>106.2604794732637</v>
      </c>
      <c r="R66"/>
      <c r="S66"/>
    </row>
    <row r="67" spans="1:19" x14ac:dyDescent="0.25">
      <c r="A67" s="53">
        <v>16</v>
      </c>
      <c r="B67" s="65">
        <f t="shared" si="10"/>
        <v>5195.5387613691855</v>
      </c>
      <c r="C67" s="65">
        <f t="shared" si="11"/>
        <v>188.1427044729466</v>
      </c>
      <c r="D67" s="69"/>
      <c r="E67" s="65">
        <f t="shared" si="12"/>
        <v>2824.1368755401727</v>
      </c>
      <c r="F67" s="65">
        <f t="shared" si="13"/>
        <v>102.26865277507443</v>
      </c>
      <c r="R67"/>
      <c r="S67"/>
    </row>
    <row r="68" spans="1:19" x14ac:dyDescent="0.25">
      <c r="A68" s="66">
        <v>17</v>
      </c>
      <c r="B68" s="68">
        <f t="shared" si="10"/>
        <v>5094.6545135756096</v>
      </c>
      <c r="C68" s="68">
        <f t="shared" si="11"/>
        <v>184.48944807541369</v>
      </c>
      <c r="D68" s="69"/>
      <c r="E68" s="68">
        <f t="shared" si="12"/>
        <v>2665.7740600893226</v>
      </c>
      <c r="F68" s="68">
        <f t="shared" si="13"/>
        <v>96.533961965257191</v>
      </c>
      <c r="R68"/>
      <c r="S68"/>
    </row>
    <row r="69" spans="1:19" x14ac:dyDescent="0.25">
      <c r="A69" s="53">
        <v>18</v>
      </c>
      <c r="B69" s="65">
        <f t="shared" si="10"/>
        <v>5009.4161124840011</v>
      </c>
      <c r="C69" s="65">
        <f t="shared" si="11"/>
        <v>184.38611193944908</v>
      </c>
      <c r="D69" s="69"/>
      <c r="E69" s="65">
        <f t="shared" si="12"/>
        <v>2523.1853515622051</v>
      </c>
      <c r="F69" s="65">
        <f t="shared" si="13"/>
        <v>92.873166498925528</v>
      </c>
      <c r="R69"/>
      <c r="S69"/>
    </row>
    <row r="70" spans="1:19" x14ac:dyDescent="0.25">
      <c r="A70" s="66">
        <v>19</v>
      </c>
      <c r="B70" s="68">
        <f t="shared" si="10"/>
        <v>4898.7247330554055</v>
      </c>
      <c r="C70" s="68">
        <f t="shared" si="11"/>
        <v>184.21722925769473</v>
      </c>
      <c r="D70" s="69"/>
      <c r="E70" s="68">
        <f t="shared" si="12"/>
        <v>2375.1909500367879</v>
      </c>
      <c r="F70" s="68">
        <f t="shared" si="13"/>
        <v>89.319388129984119</v>
      </c>
      <c r="R70"/>
      <c r="S70"/>
    </row>
    <row r="71" spans="1:19" x14ac:dyDescent="0.25">
      <c r="A71" s="53">
        <v>20</v>
      </c>
      <c r="B71" s="65">
        <f t="shared" si="10"/>
        <v>4803.6038644523878</v>
      </c>
      <c r="C71" s="65">
        <f t="shared" si="11"/>
        <v>183.98538448876198</v>
      </c>
      <c r="D71" s="69"/>
      <c r="E71" s="65">
        <f t="shared" si="12"/>
        <v>2242.0026724646309</v>
      </c>
      <c r="F71" s="65">
        <f t="shared" si="13"/>
        <v>85.872135870900266</v>
      </c>
      <c r="R71"/>
      <c r="S71"/>
    </row>
    <row r="72" spans="1:19" x14ac:dyDescent="0.25">
      <c r="A72" s="106"/>
      <c r="B72" s="110"/>
      <c r="C72" s="110"/>
      <c r="D72" s="69"/>
      <c r="E72" s="68"/>
      <c r="F72" s="68"/>
      <c r="R72"/>
      <c r="S72"/>
    </row>
    <row r="73" spans="1:19" ht="15.75" thickBot="1" x14ac:dyDescent="0.3">
      <c r="A73" s="91"/>
      <c r="B73" s="114">
        <f>SUM(B52:B71)</f>
        <v>116565.62937447581</v>
      </c>
      <c r="C73" s="114">
        <f>SUM(C52:C71)</f>
        <v>3714.3982614038405</v>
      </c>
      <c r="D73" s="59"/>
      <c r="E73" s="58">
        <f>SUM(E52:E71)</f>
        <v>82006.298482179016</v>
      </c>
      <c r="F73" s="58">
        <f>SUM(F52:F71)</f>
        <v>2546.9260623584019</v>
      </c>
      <c r="H73" s="1"/>
      <c r="I73" s="1"/>
      <c r="R73"/>
      <c r="S73"/>
    </row>
  </sheetData>
  <mergeCells count="2">
    <mergeCell ref="A50:C50"/>
    <mergeCell ref="E50:F50"/>
  </mergeCells>
  <hyperlinks>
    <hyperlink ref="A47" r:id="rId1" xr:uid="{00000000-0004-0000-0200-000000000000}"/>
  </hyperlinks>
  <pageMargins left="0.7" right="0.7" top="0.75" bottom="0.75" header="0.3" footer="0.3"/>
  <pageSetup scale="4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3"/>
  <sheetViews>
    <sheetView workbookViewId="0">
      <pane ySplit="3" topLeftCell="A13" activePane="bottomLeft" state="frozen"/>
      <selection pane="bottomLeft" activeCell="M24" sqref="M24"/>
    </sheetView>
  </sheetViews>
  <sheetFormatPr defaultRowHeight="15" x14ac:dyDescent="0.25"/>
  <cols>
    <col min="1" max="1" width="12.5703125" style="1" customWidth="1"/>
    <col min="2" max="2" width="12.5703125" customWidth="1"/>
    <col min="3" max="3" width="11.42578125" customWidth="1"/>
    <col min="6" max="6" width="15.85546875" customWidth="1"/>
    <col min="7" max="7" width="14.85546875" bestFit="1" customWidth="1"/>
    <col min="8" max="8" width="13.85546875" bestFit="1" customWidth="1"/>
    <col min="9" max="9" width="12.140625" customWidth="1"/>
    <col min="18" max="18" width="10.85546875" customWidth="1"/>
    <col min="19" max="19" width="12" customWidth="1"/>
    <col min="20" max="20" width="11.5703125" customWidth="1"/>
  </cols>
  <sheetData>
    <row r="1" spans="1:19" ht="15.75" x14ac:dyDescent="0.25">
      <c r="A1" s="105" t="s">
        <v>85</v>
      </c>
    </row>
    <row r="3" spans="1:19" s="2" customFormat="1" ht="45" x14ac:dyDescent="0.25">
      <c r="A3" s="92" t="s">
        <v>44</v>
      </c>
      <c r="B3" s="92" t="s">
        <v>0</v>
      </c>
      <c r="C3" s="92" t="s">
        <v>2</v>
      </c>
      <c r="D3" s="92" t="s">
        <v>18</v>
      </c>
      <c r="E3" s="92" t="s">
        <v>19</v>
      </c>
      <c r="F3" s="92" t="s">
        <v>20</v>
      </c>
      <c r="G3" s="92" t="s">
        <v>21</v>
      </c>
      <c r="H3" s="92" t="s">
        <v>19</v>
      </c>
      <c r="I3" s="92" t="s">
        <v>20</v>
      </c>
    </row>
    <row r="4" spans="1:19" s="1" customFormat="1" x14ac:dyDescent="0.25">
      <c r="A4" s="97">
        <v>0</v>
      </c>
      <c r="B4" s="97">
        <v>2018</v>
      </c>
      <c r="C4" s="98">
        <v>1014</v>
      </c>
      <c r="D4" s="99">
        <v>110200</v>
      </c>
      <c r="E4" s="99">
        <f>D4/1.03^(A4)</f>
        <v>110200</v>
      </c>
      <c r="F4" s="99">
        <f>D4/1.07^(A4)</f>
        <v>110200</v>
      </c>
      <c r="G4" s="99">
        <f>C4*D4</f>
        <v>111742800</v>
      </c>
      <c r="H4" s="99">
        <f>G4/1.03^(B4-$B4)</f>
        <v>111742800</v>
      </c>
      <c r="I4" s="99">
        <f>G4/1.07^(B4-$B$4)</f>
        <v>111742800</v>
      </c>
    </row>
    <row r="5" spans="1:19" x14ac:dyDescent="0.25">
      <c r="A5" s="66">
        <v>0</v>
      </c>
      <c r="B5" s="66">
        <v>2019</v>
      </c>
      <c r="C5" s="44">
        <f>$C$4*1.01^(B5-$B$4)</f>
        <v>1024.1400000000001</v>
      </c>
      <c r="D5" s="67">
        <v>110200</v>
      </c>
      <c r="E5" s="67">
        <f>D5/1.03^(A5)</f>
        <v>110200</v>
      </c>
      <c r="F5" s="67">
        <f>D5/1.07^(A5)</f>
        <v>110200</v>
      </c>
      <c r="G5" s="67">
        <f>C5*D5</f>
        <v>112860228.00000001</v>
      </c>
      <c r="H5" s="67">
        <f t="shared" ref="H5:H7" si="0">G5/1.03^(B5-$B$4)</f>
        <v>109573036.8932039</v>
      </c>
      <c r="I5" s="67">
        <f>G5/1.07^(B5-$B$4)</f>
        <v>105476848.59813085</v>
      </c>
      <c r="J5" s="1"/>
      <c r="S5" s="16"/>
    </row>
    <row r="6" spans="1:19" x14ac:dyDescent="0.25">
      <c r="A6" s="97">
        <v>0</v>
      </c>
      <c r="B6" s="97">
        <v>2020</v>
      </c>
      <c r="C6" s="98">
        <v>1014</v>
      </c>
      <c r="D6" s="99">
        <v>110200</v>
      </c>
      <c r="E6" s="99">
        <f>D6/1.03^(A6)</f>
        <v>110200</v>
      </c>
      <c r="F6" s="99">
        <f>D6/1.07^(A6)</f>
        <v>110200</v>
      </c>
      <c r="G6" s="99">
        <f>C6*D6</f>
        <v>111742800</v>
      </c>
      <c r="H6" s="99">
        <f>G6/1.03^(B6-$B6)</f>
        <v>111742800</v>
      </c>
      <c r="I6" s="99">
        <f>G6/1.07^(B6-$B$4)</f>
        <v>97600489.125687838</v>
      </c>
      <c r="J6" s="1"/>
      <c r="S6" s="16"/>
    </row>
    <row r="7" spans="1:19" x14ac:dyDescent="0.25">
      <c r="A7" s="66">
        <v>0</v>
      </c>
      <c r="B7" s="66">
        <v>2021</v>
      </c>
      <c r="C7" s="44">
        <f>$C$4*1.01^(B7-$B$4)</f>
        <v>1044.7252139999998</v>
      </c>
      <c r="D7" s="67">
        <v>110200</v>
      </c>
      <c r="E7" s="67">
        <f>D7/1.03^(A7)</f>
        <v>110200</v>
      </c>
      <c r="F7" s="67">
        <f>D7/1.07^(A7)</f>
        <v>110200</v>
      </c>
      <c r="G7" s="67">
        <f>C7*D7</f>
        <v>115128718.58279999</v>
      </c>
      <c r="H7" s="67">
        <f t="shared" si="0"/>
        <v>105359086.56306651</v>
      </c>
      <c r="I7" s="67">
        <f>G7/1.07^(B7-$B$4)</f>
        <v>93979328.548304006</v>
      </c>
      <c r="J7" s="1"/>
      <c r="S7" s="16"/>
    </row>
    <row r="8" spans="1:19" x14ac:dyDescent="0.25">
      <c r="A8" s="53">
        <v>0</v>
      </c>
      <c r="B8" s="97">
        <v>2022</v>
      </c>
      <c r="C8" s="48">
        <f>$C$4*1.01^(B8-$B$4)</f>
        <v>1055.1724661400001</v>
      </c>
      <c r="D8" s="64">
        <v>110200</v>
      </c>
      <c r="E8" s="99">
        <f t="shared" ref="E8:E28" si="1">D8/1.03^(A8)</f>
        <v>110200</v>
      </c>
      <c r="F8" s="99">
        <f t="shared" ref="F8:F28" si="2">D8/1.07^(A8)</f>
        <v>110200</v>
      </c>
      <c r="G8" s="64">
        <f t="shared" ref="G8:G28" si="3">C8*D8</f>
        <v>116280005.76862802</v>
      </c>
      <c r="H8" s="64">
        <f t="shared" ref="H8:H28" si="4">G8/1.03^(B8-$B$4)</f>
        <v>103313279.05698758</v>
      </c>
      <c r="I8" s="64">
        <f t="shared" ref="I8:I28" si="5">G8/1.07^(B8-$B$4)</f>
        <v>88709459.657744929</v>
      </c>
      <c r="J8" s="1"/>
      <c r="M8" s="30"/>
      <c r="S8" s="16"/>
    </row>
    <row r="9" spans="1:19" x14ac:dyDescent="0.25">
      <c r="A9" s="66">
        <v>1</v>
      </c>
      <c r="B9" s="66">
        <v>2023</v>
      </c>
      <c r="C9" s="44">
        <f>$C$4*1.01^(B9-$B$4)</f>
        <v>1065.7241908014</v>
      </c>
      <c r="D9" s="67">
        <f>D8*1.02</f>
        <v>112404</v>
      </c>
      <c r="E9" s="67">
        <f t="shared" si="1"/>
        <v>109130.09708737864</v>
      </c>
      <c r="F9" s="67">
        <f t="shared" si="2"/>
        <v>105050.46728971961</v>
      </c>
      <c r="G9" s="67">
        <f t="shared" si="3"/>
        <v>119791661.94284056</v>
      </c>
      <c r="H9" s="67">
        <f t="shared" si="4"/>
        <v>103333339.88787243</v>
      </c>
      <c r="I9" s="67">
        <f t="shared" si="5"/>
        <v>85409799.382625043</v>
      </c>
      <c r="J9" s="1"/>
      <c r="S9" s="16"/>
    </row>
    <row r="10" spans="1:19" x14ac:dyDescent="0.25">
      <c r="A10" s="53">
        <v>2</v>
      </c>
      <c r="B10" s="97">
        <v>2024</v>
      </c>
      <c r="C10" s="48">
        <f>$C$4*1.01^(B10-$B$4)</f>
        <v>1076.3814327094142</v>
      </c>
      <c r="D10" s="64">
        <f>D9*1.02</f>
        <v>114652.08</v>
      </c>
      <c r="E10" s="99">
        <f t="shared" si="1"/>
        <v>108070.58158167594</v>
      </c>
      <c r="F10" s="99">
        <f t="shared" si="2"/>
        <v>100141.56694907852</v>
      </c>
      <c r="G10" s="64">
        <f t="shared" si="3"/>
        <v>123409370.13351437</v>
      </c>
      <c r="H10" s="64">
        <f t="shared" si="4"/>
        <v>103353404.61406426</v>
      </c>
      <c r="I10" s="64">
        <f t="shared" si="5"/>
        <v>82232874.134561077</v>
      </c>
      <c r="J10" s="1"/>
      <c r="S10" s="16"/>
    </row>
    <row r="11" spans="1:19" x14ac:dyDescent="0.25">
      <c r="A11" s="66">
        <v>3</v>
      </c>
      <c r="B11" s="66">
        <v>2025</v>
      </c>
      <c r="C11" s="44">
        <f t="shared" ref="C11:C28" si="6">$C$5*1.01^(B11-$B$5)</f>
        <v>1087.1452470365084</v>
      </c>
      <c r="D11" s="67">
        <f>D10*1.02</f>
        <v>116945.1216</v>
      </c>
      <c r="E11" s="67">
        <f t="shared" si="1"/>
        <v>107021.35263428102</v>
      </c>
      <c r="F11" s="67">
        <f t="shared" si="2"/>
        <v>95462.054474822507</v>
      </c>
      <c r="G11" s="67">
        <f t="shared" si="3"/>
        <v>127136333.11154652</v>
      </c>
      <c r="H11" s="67">
        <f t="shared" si="4"/>
        <v>103373473.23631942</v>
      </c>
      <c r="I11" s="67">
        <f t="shared" si="5"/>
        <v>79174118.629368991</v>
      </c>
      <c r="J11" s="1"/>
      <c r="S11" s="16"/>
    </row>
    <row r="12" spans="1:19" x14ac:dyDescent="0.25">
      <c r="A12" s="53">
        <v>4</v>
      </c>
      <c r="B12" s="97">
        <v>2026</v>
      </c>
      <c r="C12" s="48">
        <f t="shared" si="6"/>
        <v>1098.0166995068732</v>
      </c>
      <c r="D12" s="64">
        <f>D11*1.02</f>
        <v>119284.024032</v>
      </c>
      <c r="E12" s="99">
        <f t="shared" si="1"/>
        <v>105982.31037569579</v>
      </c>
      <c r="F12" s="99">
        <f t="shared" si="2"/>
        <v>91001.21080777474</v>
      </c>
      <c r="G12" s="64">
        <f t="shared" si="3"/>
        <v>130975850.37151518</v>
      </c>
      <c r="H12" s="64">
        <f t="shared" si="4"/>
        <v>103393545.75539443</v>
      </c>
      <c r="I12" s="64">
        <f t="shared" si="5"/>
        <v>76229137.394370005</v>
      </c>
      <c r="J12" s="1"/>
      <c r="S12" s="16"/>
    </row>
    <row r="13" spans="1:19" x14ac:dyDescent="0.25">
      <c r="A13" s="66">
        <v>5</v>
      </c>
      <c r="B13" s="66">
        <v>2027</v>
      </c>
      <c r="C13" s="44">
        <f t="shared" si="6"/>
        <v>1108.9968665019421</v>
      </c>
      <c r="D13" s="76">
        <f t="shared" ref="D13:D28" si="7">D12</f>
        <v>119284.024032</v>
      </c>
      <c r="E13" s="67">
        <f t="shared" si="1"/>
        <v>102895.44696669494</v>
      </c>
      <c r="F13" s="67">
        <f t="shared" si="2"/>
        <v>85047.860568013755</v>
      </c>
      <c r="G13" s="67">
        <f t="shared" si="3"/>
        <v>132285608.87523036</v>
      </c>
      <c r="H13" s="67">
        <f t="shared" si="4"/>
        <v>101385904.09024115</v>
      </c>
      <c r="I13" s="67">
        <f t="shared" si="5"/>
        <v>71954606.325526834</v>
      </c>
      <c r="J13" s="1"/>
      <c r="S13" s="16"/>
    </row>
    <row r="14" spans="1:19" x14ac:dyDescent="0.25">
      <c r="A14" s="53">
        <v>6</v>
      </c>
      <c r="B14" s="97">
        <v>2028</v>
      </c>
      <c r="C14" s="48">
        <f t="shared" si="6"/>
        <v>1120.0868351669617</v>
      </c>
      <c r="D14" s="64">
        <f t="shared" si="7"/>
        <v>119284.024032</v>
      </c>
      <c r="E14" s="99">
        <f t="shared" si="1"/>
        <v>99898.492200674693</v>
      </c>
      <c r="F14" s="99">
        <f t="shared" si="2"/>
        <v>79483.981839265209</v>
      </c>
      <c r="G14" s="64">
        <f t="shared" si="3"/>
        <v>133608464.96398269</v>
      </c>
      <c r="H14" s="64">
        <f>G14/1.03^(B14-$B$4)</f>
        <v>99417245.758391827</v>
      </c>
      <c r="I14" s="64">
        <f t="shared" si="5"/>
        <v>67919768.587646842</v>
      </c>
      <c r="J14" s="1"/>
      <c r="S14" s="16"/>
    </row>
    <row r="15" spans="1:19" x14ac:dyDescent="0.25">
      <c r="A15" s="66">
        <v>7</v>
      </c>
      <c r="B15" s="66">
        <v>2029</v>
      </c>
      <c r="C15" s="44">
        <f t="shared" si="6"/>
        <v>1131.2877035186314</v>
      </c>
      <c r="D15" s="76">
        <f t="shared" si="7"/>
        <v>119284.024032</v>
      </c>
      <c r="E15" s="67">
        <f t="shared" si="1"/>
        <v>96988.827379295806</v>
      </c>
      <c r="F15" s="67">
        <f t="shared" si="2"/>
        <v>74284.095176883362</v>
      </c>
      <c r="G15" s="67">
        <f t="shared" si="3"/>
        <v>134944549.61362252</v>
      </c>
      <c r="H15" s="67">
        <f t="shared" si="4"/>
        <v>97486813.801918194</v>
      </c>
      <c r="I15" s="67">
        <f t="shared" si="5"/>
        <v>64111183.433199346</v>
      </c>
      <c r="J15" s="1"/>
      <c r="S15" s="16"/>
    </row>
    <row r="16" spans="1:19" x14ac:dyDescent="0.25">
      <c r="A16" s="53">
        <v>8</v>
      </c>
      <c r="B16" s="97">
        <v>2030</v>
      </c>
      <c r="C16" s="48">
        <f t="shared" si="6"/>
        <v>1142.6005805538175</v>
      </c>
      <c r="D16" s="64">
        <f t="shared" si="7"/>
        <v>119284.024032</v>
      </c>
      <c r="E16" s="99">
        <f t="shared" si="1"/>
        <v>94163.910076986242</v>
      </c>
      <c r="F16" s="99">
        <f t="shared" si="2"/>
        <v>69424.388015778852</v>
      </c>
      <c r="G16" s="64">
        <f t="shared" si="3"/>
        <v>136293995.10975873</v>
      </c>
      <c r="H16" s="64">
        <f>G16/1.03^(B16-$B$4)</f>
        <v>95593865.961104259</v>
      </c>
      <c r="I16" s="64">
        <f>G16/1.07^(B16-$B$4)</f>
        <v>60516163.801431172</v>
      </c>
      <c r="J16" s="1"/>
      <c r="S16" s="16"/>
    </row>
    <row r="17" spans="1:21" x14ac:dyDescent="0.25">
      <c r="A17" s="66">
        <v>9</v>
      </c>
      <c r="B17" s="66">
        <v>2031</v>
      </c>
      <c r="C17" s="44">
        <f t="shared" si="6"/>
        <v>1154.0265863593556</v>
      </c>
      <c r="D17" s="76">
        <f t="shared" si="7"/>
        <v>119284.024032</v>
      </c>
      <c r="E17" s="67">
        <f t="shared" si="1"/>
        <v>91421.271919404113</v>
      </c>
      <c r="F17" s="67">
        <f>D17/1.07^(A17)</f>
        <v>64882.605622223215</v>
      </c>
      <c r="G17" s="67">
        <f t="shared" si="3"/>
        <v>137656935.06085631</v>
      </c>
      <c r="H17" s="67">
        <f t="shared" si="4"/>
        <v>93737674.389043972</v>
      </c>
      <c r="I17" s="67">
        <f t="shared" si="5"/>
        <v>57122734.055556513</v>
      </c>
      <c r="J17" s="1"/>
      <c r="S17" s="16"/>
    </row>
    <row r="18" spans="1:21" x14ac:dyDescent="0.25">
      <c r="A18" s="53">
        <v>10</v>
      </c>
      <c r="B18" s="97">
        <v>2032</v>
      </c>
      <c r="C18" s="48">
        <f t="shared" si="6"/>
        <v>1165.5668522229491</v>
      </c>
      <c r="D18" s="64">
        <f t="shared" si="7"/>
        <v>119284.024032</v>
      </c>
      <c r="E18" s="99">
        <f t="shared" si="1"/>
        <v>88758.516426605929</v>
      </c>
      <c r="F18" s="99">
        <f t="shared" si="2"/>
        <v>60637.949179647869</v>
      </c>
      <c r="G18" s="64">
        <f t="shared" si="3"/>
        <v>139033504.41146487</v>
      </c>
      <c r="H18" s="64">
        <f t="shared" si="4"/>
        <v>91917525.371780977</v>
      </c>
      <c r="I18" s="64">
        <f t="shared" si="5"/>
        <v>53919590.089824378</v>
      </c>
      <c r="J18" s="1"/>
      <c r="S18" s="16"/>
    </row>
    <row r="19" spans="1:21" x14ac:dyDescent="0.25">
      <c r="A19" s="66">
        <v>11</v>
      </c>
      <c r="B19" s="66">
        <v>2033</v>
      </c>
      <c r="C19" s="44">
        <f t="shared" si="6"/>
        <v>1177.2225207451788</v>
      </c>
      <c r="D19" s="76">
        <f t="shared" si="7"/>
        <v>119284.024032</v>
      </c>
      <c r="E19" s="67">
        <f t="shared" si="1"/>
        <v>86173.316919034885</v>
      </c>
      <c r="F19" s="67">
        <f t="shared" si="2"/>
        <v>56670.980541726967</v>
      </c>
      <c r="G19" s="67">
        <f>C19*D19</f>
        <v>140423839.45557952</v>
      </c>
      <c r="H19" s="67">
        <f t="shared" si="4"/>
        <v>90132719.053882316</v>
      </c>
      <c r="I19" s="67">
        <f t="shared" si="5"/>
        <v>50896061.673572533</v>
      </c>
      <c r="J19" s="1"/>
      <c r="S19" s="16"/>
    </row>
    <row r="20" spans="1:21" x14ac:dyDescent="0.25">
      <c r="A20" s="53">
        <v>12</v>
      </c>
      <c r="B20" s="97">
        <v>2034</v>
      </c>
      <c r="C20" s="48">
        <f t="shared" si="6"/>
        <v>1188.9947459526304</v>
      </c>
      <c r="D20" s="64">
        <f t="shared" si="7"/>
        <v>119284.024032</v>
      </c>
      <c r="E20" s="99">
        <f t="shared" si="1"/>
        <v>83663.414484499895</v>
      </c>
      <c r="F20" s="99">
        <f t="shared" si="2"/>
        <v>52963.533216567273</v>
      </c>
      <c r="G20" s="64">
        <f t="shared" si="3"/>
        <v>141828077.8501353</v>
      </c>
      <c r="H20" s="64">
        <f t="shared" si="4"/>
        <v>88382569.169340909</v>
      </c>
      <c r="I20" s="64">
        <f t="shared" si="5"/>
        <v>48042076.906830154</v>
      </c>
      <c r="J20" s="1"/>
      <c r="S20" s="16"/>
    </row>
    <row r="21" spans="1:21" x14ac:dyDescent="0.25">
      <c r="A21" s="66">
        <v>13</v>
      </c>
      <c r="B21" s="66">
        <v>2035</v>
      </c>
      <c r="C21" s="44">
        <f t="shared" si="6"/>
        <v>1200.884693412157</v>
      </c>
      <c r="D21" s="76">
        <f t="shared" si="7"/>
        <v>119284.024032</v>
      </c>
      <c r="E21" s="67">
        <f t="shared" si="1"/>
        <v>81226.616004368843</v>
      </c>
      <c r="F21" s="67">
        <f t="shared" si="2"/>
        <v>49498.629174361929</v>
      </c>
      <c r="G21" s="67">
        <f t="shared" si="3"/>
        <v>143246358.62863669</v>
      </c>
      <c r="H21" s="67">
        <f t="shared" si="4"/>
        <v>86666402.777703241</v>
      </c>
      <c r="I21" s="67">
        <f t="shared" si="5"/>
        <v>45348128.669063985</v>
      </c>
      <c r="J21" s="1"/>
      <c r="S21" s="16"/>
    </row>
    <row r="22" spans="1:21" x14ac:dyDescent="0.25">
      <c r="A22" s="53">
        <v>14</v>
      </c>
      <c r="B22" s="97">
        <v>2036</v>
      </c>
      <c r="C22" s="48">
        <f t="shared" si="6"/>
        <v>1212.8935403462785</v>
      </c>
      <c r="D22" s="64">
        <f t="shared" si="7"/>
        <v>119284.024032</v>
      </c>
      <c r="E22" s="99">
        <f t="shared" si="1"/>
        <v>78860.792237251284</v>
      </c>
      <c r="F22" s="99">
        <f t="shared" si="2"/>
        <v>46260.401097534523</v>
      </c>
      <c r="G22" s="64">
        <f t="shared" si="3"/>
        <v>144678822.21492305</v>
      </c>
      <c r="H22" s="64">
        <f t="shared" si="4"/>
        <v>84983560.005320653</v>
      </c>
      <c r="I22" s="64">
        <f t="shared" si="5"/>
        <v>42805242.949303389</v>
      </c>
      <c r="J22" s="1"/>
      <c r="S22" s="16"/>
    </row>
    <row r="23" spans="1:21" x14ac:dyDescent="0.25">
      <c r="A23" s="66">
        <v>15</v>
      </c>
      <c r="B23" s="66">
        <v>2037</v>
      </c>
      <c r="C23" s="44">
        <f t="shared" si="6"/>
        <v>1225.0224757497415</v>
      </c>
      <c r="D23" s="76">
        <f t="shared" si="7"/>
        <v>119284.024032</v>
      </c>
      <c r="E23" s="67">
        <f t="shared" si="1"/>
        <v>76563.875958496399</v>
      </c>
      <c r="F23" s="67">
        <f t="shared" si="2"/>
        <v>43234.019717321979</v>
      </c>
      <c r="G23" s="67">
        <f t="shared" si="3"/>
        <v>146125610.43707231</v>
      </c>
      <c r="H23" s="67">
        <f t="shared" si="4"/>
        <v>83333393.791625127</v>
      </c>
      <c r="I23" s="67">
        <f t="shared" si="5"/>
        <v>40404948.952146195</v>
      </c>
      <c r="J23" s="1"/>
      <c r="S23" s="16"/>
    </row>
    <row r="24" spans="1:21" x14ac:dyDescent="0.25">
      <c r="A24" s="53">
        <v>16</v>
      </c>
      <c r="B24" s="97">
        <v>2038</v>
      </c>
      <c r="C24" s="48">
        <f t="shared" si="6"/>
        <v>1237.2727005072386</v>
      </c>
      <c r="D24" s="64">
        <f t="shared" si="7"/>
        <v>119284.024032</v>
      </c>
      <c r="E24" s="99">
        <f t="shared" si="1"/>
        <v>74333.860153879999</v>
      </c>
      <c r="F24" s="99">
        <f t="shared" si="2"/>
        <v>40405.625904039232</v>
      </c>
      <c r="G24" s="64">
        <f t="shared" si="3"/>
        <v>147586866.54144299</v>
      </c>
      <c r="H24" s="64">
        <f t="shared" si="4"/>
        <v>81715269.640331417</v>
      </c>
      <c r="I24" s="64">
        <f t="shared" si="5"/>
        <v>38139250.880063221</v>
      </c>
      <c r="J24" s="1"/>
      <c r="S24" s="16"/>
    </row>
    <row r="25" spans="1:21" x14ac:dyDescent="0.25">
      <c r="A25" s="66">
        <v>17</v>
      </c>
      <c r="B25" s="66">
        <v>2039</v>
      </c>
      <c r="C25" s="44">
        <f t="shared" si="6"/>
        <v>1249.645427512311</v>
      </c>
      <c r="D25" s="76">
        <f t="shared" si="7"/>
        <v>119284.024032</v>
      </c>
      <c r="E25" s="67">
        <f t="shared" si="1"/>
        <v>72168.796265902914</v>
      </c>
      <c r="F25" s="67">
        <f t="shared" si="2"/>
        <v>37762.267200036666</v>
      </c>
      <c r="G25" s="67">
        <f t="shared" si="3"/>
        <v>149062735.20685741</v>
      </c>
      <c r="H25" s="67">
        <f t="shared" si="4"/>
        <v>80128565.375470608</v>
      </c>
      <c r="I25" s="67">
        <f t="shared" si="5"/>
        <v>36000601.298003599</v>
      </c>
      <c r="J25" s="1"/>
      <c r="S25" s="16"/>
    </row>
    <row r="26" spans="1:21" x14ac:dyDescent="0.25">
      <c r="A26" s="53">
        <v>18</v>
      </c>
      <c r="B26" s="97">
        <v>2040</v>
      </c>
      <c r="C26" s="48">
        <f t="shared" si="6"/>
        <v>1262.1418817874342</v>
      </c>
      <c r="D26" s="64">
        <f t="shared" si="7"/>
        <v>119284.024032</v>
      </c>
      <c r="E26" s="99">
        <f t="shared" si="1"/>
        <v>70066.792491167886</v>
      </c>
      <c r="F26" s="99">
        <f t="shared" si="2"/>
        <v>35291.838504707164</v>
      </c>
      <c r="G26" s="64">
        <f t="shared" si="3"/>
        <v>150553362.55892599</v>
      </c>
      <c r="H26" s="64">
        <f t="shared" si="4"/>
        <v>78572670.902160496</v>
      </c>
      <c r="I26" s="64">
        <f t="shared" si="5"/>
        <v>33981875.99157349</v>
      </c>
      <c r="J26" s="1"/>
      <c r="S26" s="16"/>
    </row>
    <row r="27" spans="1:21" x14ac:dyDescent="0.25">
      <c r="A27" s="66">
        <v>19</v>
      </c>
      <c r="B27" s="66">
        <v>2041</v>
      </c>
      <c r="C27" s="44">
        <f t="shared" si="6"/>
        <v>1274.7633006053088</v>
      </c>
      <c r="D27" s="76">
        <f t="shared" si="7"/>
        <v>119284.024032</v>
      </c>
      <c r="E27" s="67">
        <f t="shared" si="1"/>
        <v>68026.012127347465</v>
      </c>
      <c r="F27" s="67">
        <f t="shared" si="2"/>
        <v>32983.026639913238</v>
      </c>
      <c r="G27" s="67">
        <f t="shared" si="3"/>
        <v>152058896.1845153</v>
      </c>
      <c r="H27" s="67">
        <f t="shared" si="4"/>
        <v>77046987.972021475</v>
      </c>
      <c r="I27" s="67">
        <f t="shared" si="5"/>
        <v>32076350.235036667</v>
      </c>
      <c r="J27" s="1"/>
      <c r="S27" s="16"/>
    </row>
    <row r="28" spans="1:21" x14ac:dyDescent="0.25">
      <c r="A28" s="53">
        <v>20</v>
      </c>
      <c r="B28" s="97">
        <v>2042</v>
      </c>
      <c r="C28" s="48">
        <f t="shared" si="6"/>
        <v>1287.5109336113617</v>
      </c>
      <c r="D28" s="64">
        <f t="shared" si="7"/>
        <v>119284.024032</v>
      </c>
      <c r="E28" s="99">
        <f t="shared" si="1"/>
        <v>66044.671968298499</v>
      </c>
      <c r="F28" s="99">
        <f t="shared" si="2"/>
        <v>30825.258541974988</v>
      </c>
      <c r="G28" s="64">
        <f t="shared" si="3"/>
        <v>153579485.14636043</v>
      </c>
      <c r="H28" s="64">
        <f t="shared" si="4"/>
        <v>75550929.953147277</v>
      </c>
      <c r="I28" s="64">
        <f t="shared" si="5"/>
        <v>30277676.390081335</v>
      </c>
    </row>
    <row r="29" spans="1:21" x14ac:dyDescent="0.25">
      <c r="A29" s="106"/>
      <c r="B29" s="106"/>
      <c r="C29" s="115"/>
      <c r="D29" s="116"/>
      <c r="E29" s="116"/>
      <c r="F29" s="116"/>
      <c r="G29" s="116"/>
      <c r="H29" s="116"/>
      <c r="I29" s="116"/>
    </row>
    <row r="30" spans="1:21" ht="15.75" thickBot="1" x14ac:dyDescent="0.3">
      <c r="A30" s="117" t="s">
        <v>22</v>
      </c>
      <c r="B30" s="117"/>
      <c r="C30" s="118"/>
      <c r="D30" s="119">
        <f>D28-D8</f>
        <v>9084.0240320000012</v>
      </c>
      <c r="E30" s="119"/>
      <c r="F30" s="119"/>
      <c r="G30" s="120">
        <f>D30*C28</f>
        <v>11695780.262388367</v>
      </c>
      <c r="H30" s="119">
        <f>G30/1.03^20</f>
        <v>6475669.9575755298</v>
      </c>
      <c r="I30" s="119">
        <f>G30/1.07^20</f>
        <v>3022411.8725365293</v>
      </c>
      <c r="S30" s="16"/>
      <c r="T30" s="16"/>
      <c r="U30" s="16"/>
    </row>
    <row r="31" spans="1:21" x14ac:dyDescent="0.25">
      <c r="A31" s="18"/>
      <c r="D31" s="75"/>
      <c r="F31" s="15"/>
      <c r="G31" s="15"/>
    </row>
    <row r="32" spans="1:21" x14ac:dyDescent="0.25">
      <c r="A32" s="18" t="s">
        <v>97</v>
      </c>
      <c r="D32" s="75" t="s">
        <v>96</v>
      </c>
      <c r="F32" s="15"/>
      <c r="G32" s="15"/>
    </row>
    <row r="33" spans="1:8" x14ac:dyDescent="0.25">
      <c r="A33" s="19"/>
      <c r="G33" s="15"/>
      <c r="H33" s="15"/>
    </row>
    <row r="34" spans="1:8" x14ac:dyDescent="0.25">
      <c r="A34" s="20" t="s">
        <v>59</v>
      </c>
    </row>
    <row r="35" spans="1:8" x14ac:dyDescent="0.25">
      <c r="A35" s="20" t="s">
        <v>45</v>
      </c>
    </row>
    <row r="36" spans="1:8" x14ac:dyDescent="0.25">
      <c r="A36" s="20" t="s">
        <v>86</v>
      </c>
    </row>
    <row r="37" spans="1:8" x14ac:dyDescent="0.25">
      <c r="A37" s="20" t="s">
        <v>87</v>
      </c>
    </row>
    <row r="38" spans="1:8" x14ac:dyDescent="0.25">
      <c r="A38" s="20" t="s">
        <v>60</v>
      </c>
    </row>
    <row r="39" spans="1:8" x14ac:dyDescent="0.25">
      <c r="A39" s="20" t="s">
        <v>61</v>
      </c>
    </row>
    <row r="40" spans="1:8" x14ac:dyDescent="0.25">
      <c r="A40" s="20" t="s">
        <v>62</v>
      </c>
    </row>
    <row r="41" spans="1:8" x14ac:dyDescent="0.25">
      <c r="A41" s="20" t="s">
        <v>63</v>
      </c>
    </row>
    <row r="42" spans="1:8" x14ac:dyDescent="0.25">
      <c r="A42" s="20" t="s">
        <v>64</v>
      </c>
    </row>
    <row r="43" spans="1:8" x14ac:dyDescent="0.25">
      <c r="A43" s="3"/>
    </row>
    <row r="44" spans="1:8" x14ac:dyDescent="0.25">
      <c r="A44"/>
    </row>
    <row r="45" spans="1:8" x14ac:dyDescent="0.25">
      <c r="A45" s="3"/>
    </row>
    <row r="46" spans="1:8" x14ac:dyDescent="0.25">
      <c r="A46" s="8"/>
    </row>
    <row r="47" spans="1:8" x14ac:dyDescent="0.25">
      <c r="A47" s="8"/>
    </row>
    <row r="48" spans="1:8" x14ac:dyDescent="0.25">
      <c r="A48" s="8"/>
    </row>
    <row r="49" spans="1:2" x14ac:dyDescent="0.25">
      <c r="A49" s="8"/>
    </row>
    <row r="50" spans="1:2" x14ac:dyDescent="0.25">
      <c r="A50" s="8"/>
    </row>
    <row r="51" spans="1:2" x14ac:dyDescent="0.25">
      <c r="A51" s="8"/>
    </row>
    <row r="52" spans="1:2" x14ac:dyDescent="0.25">
      <c r="A52" s="8"/>
    </row>
    <row r="53" spans="1:2" x14ac:dyDescent="0.25">
      <c r="A53" s="8"/>
    </row>
    <row r="54" spans="1:2" x14ac:dyDescent="0.25">
      <c r="A54" s="8"/>
    </row>
    <row r="56" spans="1:2" x14ac:dyDescent="0.25">
      <c r="A56" s="9"/>
      <c r="B56" s="10"/>
    </row>
    <row r="57" spans="1:2" x14ac:dyDescent="0.25">
      <c r="A57" s="11"/>
      <c r="B57" s="10"/>
    </row>
    <row r="58" spans="1:2" x14ac:dyDescent="0.25">
      <c r="A58" s="12"/>
      <c r="B58" s="12"/>
    </row>
    <row r="59" spans="1:2" x14ac:dyDescent="0.25">
      <c r="A59" s="11"/>
      <c r="B59" s="13"/>
    </row>
    <row r="60" spans="1:2" x14ac:dyDescent="0.25">
      <c r="A60" s="11"/>
      <c r="B60" s="13"/>
    </row>
    <row r="61" spans="1:2" x14ac:dyDescent="0.25">
      <c r="A61" s="11"/>
      <c r="B61" s="13"/>
    </row>
    <row r="62" spans="1:2" x14ac:dyDescent="0.25">
      <c r="A62" s="11"/>
      <c r="B62" s="13"/>
    </row>
    <row r="63" spans="1:2" x14ac:dyDescent="0.25">
      <c r="A63" s="11"/>
      <c r="B63" s="13"/>
    </row>
    <row r="64" spans="1:2" x14ac:dyDescent="0.25">
      <c r="A64" s="11"/>
      <c r="B64" s="13"/>
    </row>
    <row r="65" spans="1:2" x14ac:dyDescent="0.25">
      <c r="A65" s="11"/>
      <c r="B65" s="13"/>
    </row>
    <row r="66" spans="1:2" x14ac:dyDescent="0.25">
      <c r="A66" s="11"/>
      <c r="B66" s="13"/>
    </row>
    <row r="67" spans="1:2" x14ac:dyDescent="0.25">
      <c r="A67" s="11"/>
      <c r="B67" s="13"/>
    </row>
    <row r="68" spans="1:2" x14ac:dyDescent="0.25">
      <c r="A68" s="11"/>
      <c r="B68" s="13"/>
    </row>
    <row r="69" spans="1:2" x14ac:dyDescent="0.25">
      <c r="A69" s="11"/>
      <c r="B69" s="13"/>
    </row>
    <row r="70" spans="1:2" x14ac:dyDescent="0.25">
      <c r="A70" s="11"/>
      <c r="B70" s="13"/>
    </row>
    <row r="71" spans="1:2" x14ac:dyDescent="0.25">
      <c r="A71" s="11"/>
      <c r="B71" s="13"/>
    </row>
    <row r="72" spans="1:2" x14ac:dyDescent="0.25">
      <c r="A72" s="11"/>
      <c r="B72" s="13"/>
    </row>
    <row r="73" spans="1:2" x14ac:dyDescent="0.25">
      <c r="A73" s="11"/>
      <c r="B73" s="13"/>
    </row>
    <row r="74" spans="1:2" x14ac:dyDescent="0.25">
      <c r="A74" s="11"/>
      <c r="B74" s="13"/>
    </row>
    <row r="75" spans="1:2" x14ac:dyDescent="0.25">
      <c r="A75" s="11"/>
      <c r="B75" s="13"/>
    </row>
    <row r="76" spans="1:2" x14ac:dyDescent="0.25">
      <c r="A76" s="11"/>
      <c r="B76" s="13"/>
    </row>
    <row r="77" spans="1:2" x14ac:dyDescent="0.25">
      <c r="A77" s="11"/>
      <c r="B77" s="13"/>
    </row>
    <row r="78" spans="1:2" x14ac:dyDescent="0.25">
      <c r="A78" s="11"/>
      <c r="B78" s="13"/>
    </row>
    <row r="79" spans="1:2" x14ac:dyDescent="0.25">
      <c r="A79" s="11"/>
      <c r="B79" s="13"/>
    </row>
    <row r="80" spans="1:2" x14ac:dyDescent="0.25">
      <c r="A80" s="11"/>
      <c r="B80" s="13"/>
    </row>
    <row r="81" spans="1:2" x14ac:dyDescent="0.25">
      <c r="A81" s="11"/>
      <c r="B81" s="10"/>
    </row>
    <row r="82" spans="1:2" x14ac:dyDescent="0.25">
      <c r="A82" s="11"/>
      <c r="B82" s="14"/>
    </row>
    <row r="83" spans="1:2" x14ac:dyDescent="0.25">
      <c r="A83" s="11"/>
      <c r="B83" s="10"/>
    </row>
  </sheetData>
  <hyperlinks>
    <hyperlink ref="D32" r:id="rId1" xr:uid="{00000000-0004-0000-0300-000000000000}"/>
  </hyperlinks>
  <pageMargins left="0.7" right="0.7" top="0.75" bottom="0.75" header="0.3" footer="0.3"/>
  <pageSetup scale="75" orientation="landscape" r:id="rId2"/>
  <ignoredErrors>
    <ignoredError sqref="H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80"/>
  <sheetViews>
    <sheetView workbookViewId="0">
      <pane ySplit="3" topLeftCell="A4" activePane="bottomLeft" state="frozen"/>
      <selection pane="bottomLeft" activeCell="J14" sqref="J14"/>
    </sheetView>
  </sheetViews>
  <sheetFormatPr defaultRowHeight="15" x14ac:dyDescent="0.25"/>
  <cols>
    <col min="1" max="1" width="12.5703125" style="1" customWidth="1"/>
    <col min="2" max="2" width="12.5703125" customWidth="1"/>
    <col min="3" max="3" width="15.5703125" customWidth="1"/>
    <col min="4" max="5" width="15.42578125" customWidth="1"/>
    <col min="6" max="6" width="11.140625" bestFit="1" customWidth="1"/>
    <col min="7" max="7" width="10.85546875" customWidth="1"/>
    <col min="16" max="16" width="10.85546875" customWidth="1"/>
    <col min="17" max="17" width="12" customWidth="1"/>
    <col min="18" max="18" width="11.5703125" customWidth="1"/>
  </cols>
  <sheetData>
    <row r="1" spans="1:17" ht="15.75" x14ac:dyDescent="0.25">
      <c r="A1" s="105" t="s">
        <v>231</v>
      </c>
    </row>
    <row r="3" spans="1:17" s="2" customFormat="1" ht="45" x14ac:dyDescent="0.25">
      <c r="A3" s="92" t="s">
        <v>44</v>
      </c>
      <c r="B3" s="92" t="s">
        <v>0</v>
      </c>
      <c r="C3" s="92" t="s">
        <v>93</v>
      </c>
      <c r="D3" s="92" t="s">
        <v>152</v>
      </c>
      <c r="E3" s="92" t="s">
        <v>153</v>
      </c>
      <c r="F3" s="92" t="s">
        <v>19</v>
      </c>
      <c r="G3" s="92" t="s">
        <v>20</v>
      </c>
    </row>
    <row r="4" spans="1:17" s="1" customFormat="1" x14ac:dyDescent="0.25">
      <c r="A4" s="66">
        <v>0</v>
      </c>
      <c r="B4" s="66">
        <v>2018</v>
      </c>
      <c r="C4" s="45">
        <v>0</v>
      </c>
      <c r="D4" s="52">
        <f>150750-3200</f>
        <v>147550</v>
      </c>
      <c r="E4" s="52">
        <f>D4*C4</f>
        <v>0</v>
      </c>
      <c r="F4" s="67">
        <f>E4/1.03^(A4)</f>
        <v>0</v>
      </c>
      <c r="G4" s="67">
        <f>E4/1.07^(A4)</f>
        <v>0</v>
      </c>
    </row>
    <row r="5" spans="1:17" x14ac:dyDescent="0.25">
      <c r="A5" s="53">
        <v>0</v>
      </c>
      <c r="B5" s="53">
        <v>2019</v>
      </c>
      <c r="C5" s="49">
        <v>0</v>
      </c>
      <c r="D5" s="51">
        <f t="shared" ref="D5:D28" si="0">150750-3200</f>
        <v>147550</v>
      </c>
      <c r="E5" s="51">
        <f t="shared" ref="E5:E28" si="1">D5*C5</f>
        <v>0</v>
      </c>
      <c r="F5" s="64">
        <f>E5/1.03^(A5)</f>
        <v>0</v>
      </c>
      <c r="G5" s="64">
        <f>E5/1.07^(A5)</f>
        <v>0</v>
      </c>
      <c r="H5" s="1"/>
      <c r="Q5" s="16"/>
    </row>
    <row r="6" spans="1:17" x14ac:dyDescent="0.25">
      <c r="A6" s="66">
        <v>0</v>
      </c>
      <c r="B6" s="66">
        <v>2020</v>
      </c>
      <c r="C6" s="45">
        <v>0</v>
      </c>
      <c r="D6" s="52">
        <f t="shared" si="0"/>
        <v>147550</v>
      </c>
      <c r="E6" s="52">
        <f t="shared" si="1"/>
        <v>0</v>
      </c>
      <c r="F6" s="67">
        <f t="shared" ref="F6:F28" si="2">E6/1.03^(A6)</f>
        <v>0</v>
      </c>
      <c r="G6" s="67">
        <f t="shared" ref="G6:G28" si="3">E6/1.07^(A6)</f>
        <v>0</v>
      </c>
      <c r="H6" s="1"/>
      <c r="Q6" s="16"/>
    </row>
    <row r="7" spans="1:17" x14ac:dyDescent="0.25">
      <c r="A7" s="53">
        <v>0</v>
      </c>
      <c r="B7" s="53">
        <v>2021</v>
      </c>
      <c r="C7" s="49">
        <v>0</v>
      </c>
      <c r="D7" s="51">
        <f t="shared" si="0"/>
        <v>147550</v>
      </c>
      <c r="E7" s="51">
        <f t="shared" si="1"/>
        <v>0</v>
      </c>
      <c r="F7" s="64">
        <f t="shared" si="2"/>
        <v>0</v>
      </c>
      <c r="G7" s="64">
        <f t="shared" si="3"/>
        <v>0</v>
      </c>
      <c r="H7" s="1"/>
      <c r="Q7" s="16"/>
    </row>
    <row r="8" spans="1:17" x14ac:dyDescent="0.25">
      <c r="A8" s="66">
        <v>0</v>
      </c>
      <c r="B8" s="66">
        <v>2022</v>
      </c>
      <c r="C8" s="45">
        <v>0</v>
      </c>
      <c r="D8" s="52">
        <f t="shared" si="0"/>
        <v>147550</v>
      </c>
      <c r="E8" s="52">
        <f t="shared" si="1"/>
        <v>0</v>
      </c>
      <c r="F8" s="67">
        <f t="shared" si="2"/>
        <v>0</v>
      </c>
      <c r="G8" s="67">
        <f t="shared" si="3"/>
        <v>0</v>
      </c>
      <c r="H8" s="1"/>
      <c r="Q8" s="16"/>
    </row>
    <row r="9" spans="1:17" x14ac:dyDescent="0.25">
      <c r="A9" s="53">
        <v>1</v>
      </c>
      <c r="B9" s="53">
        <v>2023</v>
      </c>
      <c r="C9" s="49">
        <v>133</v>
      </c>
      <c r="D9" s="51">
        <f t="shared" si="0"/>
        <v>147550</v>
      </c>
      <c r="E9" s="51">
        <f t="shared" si="1"/>
        <v>19624150</v>
      </c>
      <c r="F9" s="64">
        <f t="shared" si="2"/>
        <v>19052572.815533981</v>
      </c>
      <c r="G9" s="64">
        <f t="shared" si="3"/>
        <v>18340327.102803737</v>
      </c>
      <c r="H9" s="1"/>
      <c r="Q9" s="16"/>
    </row>
    <row r="10" spans="1:17" x14ac:dyDescent="0.25">
      <c r="A10" s="66">
        <v>2</v>
      </c>
      <c r="B10" s="66">
        <v>2024</v>
      </c>
      <c r="C10" s="45">
        <v>0</v>
      </c>
      <c r="D10" s="52">
        <f t="shared" si="0"/>
        <v>147550</v>
      </c>
      <c r="E10" s="52">
        <f t="shared" si="1"/>
        <v>0</v>
      </c>
      <c r="F10" s="67">
        <f t="shared" si="2"/>
        <v>0</v>
      </c>
      <c r="G10" s="67">
        <f t="shared" si="3"/>
        <v>0</v>
      </c>
      <c r="H10" s="1"/>
      <c r="Q10" s="16"/>
    </row>
    <row r="11" spans="1:17" x14ac:dyDescent="0.25">
      <c r="A11" s="53">
        <v>3</v>
      </c>
      <c r="B11" s="53">
        <v>2025</v>
      </c>
      <c r="C11" s="49">
        <v>0</v>
      </c>
      <c r="D11" s="51">
        <f t="shared" si="0"/>
        <v>147550</v>
      </c>
      <c r="E11" s="51">
        <f t="shared" si="1"/>
        <v>0</v>
      </c>
      <c r="F11" s="64">
        <f t="shared" si="2"/>
        <v>0</v>
      </c>
      <c r="G11" s="64">
        <f t="shared" si="3"/>
        <v>0</v>
      </c>
      <c r="H11" s="1"/>
      <c r="Q11" s="16"/>
    </row>
    <row r="12" spans="1:17" x14ac:dyDescent="0.25">
      <c r="A12" s="66">
        <v>4</v>
      </c>
      <c r="B12" s="66">
        <v>2026</v>
      </c>
      <c r="C12" s="45">
        <v>0</v>
      </c>
      <c r="D12" s="52">
        <f t="shared" si="0"/>
        <v>147550</v>
      </c>
      <c r="E12" s="52">
        <f t="shared" si="1"/>
        <v>0</v>
      </c>
      <c r="F12" s="67">
        <f t="shared" si="2"/>
        <v>0</v>
      </c>
      <c r="G12" s="67">
        <f t="shared" si="3"/>
        <v>0</v>
      </c>
      <c r="H12" s="1"/>
      <c r="Q12" s="16"/>
    </row>
    <row r="13" spans="1:17" x14ac:dyDescent="0.25">
      <c r="A13" s="53">
        <v>5</v>
      </c>
      <c r="B13" s="53">
        <v>2027</v>
      </c>
      <c r="C13" s="49">
        <v>0</v>
      </c>
      <c r="D13" s="51">
        <f t="shared" si="0"/>
        <v>147550</v>
      </c>
      <c r="E13" s="51">
        <f t="shared" si="1"/>
        <v>0</v>
      </c>
      <c r="F13" s="64">
        <f t="shared" si="2"/>
        <v>0</v>
      </c>
      <c r="G13" s="64">
        <f t="shared" si="3"/>
        <v>0</v>
      </c>
      <c r="H13" s="1"/>
      <c r="Q13" s="16"/>
    </row>
    <row r="14" spans="1:17" x14ac:dyDescent="0.25">
      <c r="A14" s="66">
        <v>6</v>
      </c>
      <c r="B14" s="66">
        <v>2028</v>
      </c>
      <c r="C14" s="45">
        <v>0</v>
      </c>
      <c r="D14" s="52">
        <f t="shared" si="0"/>
        <v>147550</v>
      </c>
      <c r="E14" s="52">
        <f t="shared" si="1"/>
        <v>0</v>
      </c>
      <c r="F14" s="67">
        <f t="shared" si="2"/>
        <v>0</v>
      </c>
      <c r="G14" s="67">
        <f t="shared" si="3"/>
        <v>0</v>
      </c>
      <c r="H14" s="1"/>
      <c r="Q14" s="16"/>
    </row>
    <row r="15" spans="1:17" x14ac:dyDescent="0.25">
      <c r="A15" s="53">
        <v>7</v>
      </c>
      <c r="B15" s="53">
        <v>2029</v>
      </c>
      <c r="C15" s="49">
        <v>0</v>
      </c>
      <c r="D15" s="51">
        <f t="shared" si="0"/>
        <v>147550</v>
      </c>
      <c r="E15" s="51">
        <f t="shared" si="1"/>
        <v>0</v>
      </c>
      <c r="F15" s="64">
        <f t="shared" si="2"/>
        <v>0</v>
      </c>
      <c r="G15" s="64">
        <f t="shared" si="3"/>
        <v>0</v>
      </c>
      <c r="H15" s="1"/>
      <c r="Q15" s="16"/>
    </row>
    <row r="16" spans="1:17" x14ac:dyDescent="0.25">
      <c r="A16" s="66">
        <v>8</v>
      </c>
      <c r="B16" s="66">
        <v>2030</v>
      </c>
      <c r="C16" s="45">
        <v>0</v>
      </c>
      <c r="D16" s="52">
        <f t="shared" si="0"/>
        <v>147550</v>
      </c>
      <c r="E16" s="52">
        <f t="shared" si="1"/>
        <v>0</v>
      </c>
      <c r="F16" s="67">
        <f t="shared" si="2"/>
        <v>0</v>
      </c>
      <c r="G16" s="67">
        <f t="shared" si="3"/>
        <v>0</v>
      </c>
      <c r="H16" s="1"/>
      <c r="Q16" s="16"/>
    </row>
    <row r="17" spans="1:17" x14ac:dyDescent="0.25">
      <c r="A17" s="53">
        <v>9</v>
      </c>
      <c r="B17" s="53">
        <v>2031</v>
      </c>
      <c r="C17" s="49">
        <v>0</v>
      </c>
      <c r="D17" s="51">
        <f t="shared" si="0"/>
        <v>147550</v>
      </c>
      <c r="E17" s="51">
        <f t="shared" si="1"/>
        <v>0</v>
      </c>
      <c r="F17" s="64">
        <f t="shared" si="2"/>
        <v>0</v>
      </c>
      <c r="G17" s="64">
        <f t="shared" si="3"/>
        <v>0</v>
      </c>
      <c r="H17" s="1"/>
      <c r="Q17" s="16"/>
    </row>
    <row r="18" spans="1:17" x14ac:dyDescent="0.25">
      <c r="A18" s="66">
        <v>10</v>
      </c>
      <c r="B18" s="66">
        <v>2032</v>
      </c>
      <c r="C18" s="45">
        <v>0</v>
      </c>
      <c r="D18" s="52">
        <f t="shared" si="0"/>
        <v>147550</v>
      </c>
      <c r="E18" s="52">
        <f t="shared" si="1"/>
        <v>0</v>
      </c>
      <c r="F18" s="67">
        <f t="shared" si="2"/>
        <v>0</v>
      </c>
      <c r="G18" s="67">
        <f t="shared" si="3"/>
        <v>0</v>
      </c>
      <c r="H18" s="1"/>
      <c r="Q18" s="16"/>
    </row>
    <row r="19" spans="1:17" x14ac:dyDescent="0.25">
      <c r="A19" s="53">
        <v>11</v>
      </c>
      <c r="B19" s="53">
        <v>2033</v>
      </c>
      <c r="C19" s="49">
        <v>0</v>
      </c>
      <c r="D19" s="51">
        <f t="shared" si="0"/>
        <v>147550</v>
      </c>
      <c r="E19" s="51">
        <f t="shared" si="1"/>
        <v>0</v>
      </c>
      <c r="F19" s="64">
        <f t="shared" si="2"/>
        <v>0</v>
      </c>
      <c r="G19" s="64">
        <f t="shared" si="3"/>
        <v>0</v>
      </c>
      <c r="H19" s="1"/>
      <c r="Q19" s="16"/>
    </row>
    <row r="20" spans="1:17" x14ac:dyDescent="0.25">
      <c r="A20" s="66">
        <v>12</v>
      </c>
      <c r="B20" s="66">
        <v>2034</v>
      </c>
      <c r="C20" s="45">
        <v>0</v>
      </c>
      <c r="D20" s="52">
        <f t="shared" si="0"/>
        <v>147550</v>
      </c>
      <c r="E20" s="52">
        <f t="shared" si="1"/>
        <v>0</v>
      </c>
      <c r="F20" s="67">
        <f t="shared" si="2"/>
        <v>0</v>
      </c>
      <c r="G20" s="67">
        <f t="shared" si="3"/>
        <v>0</v>
      </c>
      <c r="H20" s="1"/>
      <c r="Q20" s="16"/>
    </row>
    <row r="21" spans="1:17" x14ac:dyDescent="0.25">
      <c r="A21" s="53">
        <v>13</v>
      </c>
      <c r="B21" s="53">
        <v>2035</v>
      </c>
      <c r="C21" s="49">
        <v>0</v>
      </c>
      <c r="D21" s="51">
        <f t="shared" si="0"/>
        <v>147550</v>
      </c>
      <c r="E21" s="51">
        <f t="shared" si="1"/>
        <v>0</v>
      </c>
      <c r="F21" s="64">
        <f t="shared" si="2"/>
        <v>0</v>
      </c>
      <c r="G21" s="64">
        <f t="shared" si="3"/>
        <v>0</v>
      </c>
      <c r="H21" s="1"/>
      <c r="Q21" s="16"/>
    </row>
    <row r="22" spans="1:17" x14ac:dyDescent="0.25">
      <c r="A22" s="66">
        <v>14</v>
      </c>
      <c r="B22" s="66">
        <v>2036</v>
      </c>
      <c r="C22" s="45">
        <v>0</v>
      </c>
      <c r="D22" s="52">
        <f t="shared" si="0"/>
        <v>147550</v>
      </c>
      <c r="E22" s="52">
        <f t="shared" si="1"/>
        <v>0</v>
      </c>
      <c r="F22" s="67">
        <f t="shared" si="2"/>
        <v>0</v>
      </c>
      <c r="G22" s="67">
        <f t="shared" si="3"/>
        <v>0</v>
      </c>
      <c r="H22" s="1"/>
      <c r="Q22" s="16"/>
    </row>
    <row r="23" spans="1:17" x14ac:dyDescent="0.25">
      <c r="A23" s="53">
        <v>15</v>
      </c>
      <c r="B23" s="53">
        <v>2037</v>
      </c>
      <c r="C23" s="49">
        <v>0</v>
      </c>
      <c r="D23" s="51">
        <f t="shared" si="0"/>
        <v>147550</v>
      </c>
      <c r="E23" s="51">
        <f t="shared" si="1"/>
        <v>0</v>
      </c>
      <c r="F23" s="64">
        <f t="shared" si="2"/>
        <v>0</v>
      </c>
      <c r="G23" s="64">
        <f t="shared" si="3"/>
        <v>0</v>
      </c>
      <c r="H23" s="1"/>
      <c r="Q23" s="16"/>
    </row>
    <row r="24" spans="1:17" x14ac:dyDescent="0.25">
      <c r="A24" s="66">
        <v>16</v>
      </c>
      <c r="B24" s="66">
        <v>2038</v>
      </c>
      <c r="C24" s="45">
        <v>0</v>
      </c>
      <c r="D24" s="52">
        <f t="shared" si="0"/>
        <v>147550</v>
      </c>
      <c r="E24" s="52">
        <f t="shared" si="1"/>
        <v>0</v>
      </c>
      <c r="F24" s="67">
        <f t="shared" si="2"/>
        <v>0</v>
      </c>
      <c r="G24" s="67">
        <f t="shared" si="3"/>
        <v>0</v>
      </c>
      <c r="H24" s="1"/>
      <c r="Q24" s="16"/>
    </row>
    <row r="25" spans="1:17" x14ac:dyDescent="0.25">
      <c r="A25" s="53">
        <v>17</v>
      </c>
      <c r="B25" s="53">
        <v>2039</v>
      </c>
      <c r="C25" s="49">
        <v>0</v>
      </c>
      <c r="D25" s="51">
        <f t="shared" si="0"/>
        <v>147550</v>
      </c>
      <c r="E25" s="51">
        <f t="shared" si="1"/>
        <v>0</v>
      </c>
      <c r="F25" s="64">
        <f t="shared" si="2"/>
        <v>0</v>
      </c>
      <c r="G25" s="64">
        <f t="shared" si="3"/>
        <v>0</v>
      </c>
      <c r="H25" s="1"/>
      <c r="Q25" s="16"/>
    </row>
    <row r="26" spans="1:17" x14ac:dyDescent="0.25">
      <c r="A26" s="66">
        <v>18</v>
      </c>
      <c r="B26" s="66">
        <v>2040</v>
      </c>
      <c r="C26" s="45">
        <v>0</v>
      </c>
      <c r="D26" s="52">
        <f t="shared" si="0"/>
        <v>147550</v>
      </c>
      <c r="E26" s="52">
        <f t="shared" si="1"/>
        <v>0</v>
      </c>
      <c r="F26" s="67">
        <f t="shared" si="2"/>
        <v>0</v>
      </c>
      <c r="G26" s="67">
        <f t="shared" si="3"/>
        <v>0</v>
      </c>
      <c r="H26" s="1"/>
      <c r="Q26" s="16"/>
    </row>
    <row r="27" spans="1:17" x14ac:dyDescent="0.25">
      <c r="A27" s="53">
        <v>19</v>
      </c>
      <c r="B27" s="53">
        <v>2041</v>
      </c>
      <c r="C27" s="49">
        <v>0</v>
      </c>
      <c r="D27" s="51">
        <f t="shared" si="0"/>
        <v>147550</v>
      </c>
      <c r="E27" s="51">
        <f t="shared" si="1"/>
        <v>0</v>
      </c>
      <c r="F27" s="64">
        <f t="shared" si="2"/>
        <v>0</v>
      </c>
      <c r="G27" s="64">
        <f t="shared" si="3"/>
        <v>0</v>
      </c>
      <c r="H27" s="1"/>
      <c r="Q27" s="16"/>
    </row>
    <row r="28" spans="1:17" x14ac:dyDescent="0.25">
      <c r="A28" s="106">
        <v>20</v>
      </c>
      <c r="B28" s="106">
        <v>2042</v>
      </c>
      <c r="C28" s="121">
        <v>0</v>
      </c>
      <c r="D28" s="122">
        <f t="shared" si="0"/>
        <v>147550</v>
      </c>
      <c r="E28" s="122">
        <f t="shared" si="1"/>
        <v>0</v>
      </c>
      <c r="F28" s="109">
        <f t="shared" si="2"/>
        <v>0</v>
      </c>
      <c r="G28" s="109">
        <f t="shared" si="3"/>
        <v>0</v>
      </c>
      <c r="H28" s="1"/>
      <c r="Q28" s="16"/>
    </row>
    <row r="29" spans="1:17" ht="15.75" thickBot="1" x14ac:dyDescent="0.3">
      <c r="A29" s="78"/>
      <c r="B29" s="77"/>
      <c r="C29" s="78"/>
      <c r="D29" s="79"/>
      <c r="E29" s="79"/>
      <c r="F29" s="80">
        <f>SUM(F4:F26)</f>
        <v>19052572.815533981</v>
      </c>
      <c r="G29" s="80">
        <f>SUM(G4:G26)</f>
        <v>18340327.102803737</v>
      </c>
    </row>
    <row r="30" spans="1:17" x14ac:dyDescent="0.25">
      <c r="A30" s="19"/>
    </row>
    <row r="31" spans="1:17" x14ac:dyDescent="0.25">
      <c r="A31" s="20" t="s">
        <v>59</v>
      </c>
      <c r="I31" s="30"/>
    </row>
    <row r="32" spans="1:17" x14ac:dyDescent="0.25">
      <c r="A32" s="20" t="s">
        <v>45</v>
      </c>
    </row>
    <row r="33" spans="1:1" x14ac:dyDescent="0.25">
      <c r="A33" s="20" t="s">
        <v>65</v>
      </c>
    </row>
    <row r="34" spans="1:1" x14ac:dyDescent="0.25">
      <c r="A34" s="20" t="s">
        <v>124</v>
      </c>
    </row>
    <row r="35" spans="1:1" x14ac:dyDescent="0.25">
      <c r="A35" s="20" t="s">
        <v>150</v>
      </c>
    </row>
    <row r="36" spans="1:1" x14ac:dyDescent="0.25">
      <c r="A36" s="20" t="s">
        <v>151</v>
      </c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2" x14ac:dyDescent="0.25">
      <c r="A49" s="8"/>
    </row>
    <row r="50" spans="1:2" x14ac:dyDescent="0.25">
      <c r="A50" s="8"/>
    </row>
    <row r="51" spans="1:2" x14ac:dyDescent="0.25">
      <c r="A51" s="8"/>
    </row>
    <row r="53" spans="1:2" x14ac:dyDescent="0.25">
      <c r="A53" s="9"/>
      <c r="B53" s="10"/>
    </row>
    <row r="54" spans="1:2" x14ac:dyDescent="0.25">
      <c r="A54" s="11"/>
      <c r="B54" s="10"/>
    </row>
    <row r="55" spans="1:2" x14ac:dyDescent="0.25">
      <c r="A55" s="12"/>
      <c r="B55" s="12"/>
    </row>
    <row r="56" spans="1:2" x14ac:dyDescent="0.25">
      <c r="A56" s="11"/>
      <c r="B56" s="13"/>
    </row>
    <row r="57" spans="1:2" x14ac:dyDescent="0.25">
      <c r="A57" s="11"/>
      <c r="B57" s="13"/>
    </row>
    <row r="58" spans="1:2" x14ac:dyDescent="0.25">
      <c r="A58" s="11"/>
      <c r="B58" s="13"/>
    </row>
    <row r="59" spans="1:2" x14ac:dyDescent="0.25">
      <c r="A59" s="11"/>
      <c r="B59" s="13"/>
    </row>
    <row r="60" spans="1:2" x14ac:dyDescent="0.25">
      <c r="A60" s="11"/>
      <c r="B60" s="13"/>
    </row>
    <row r="61" spans="1:2" x14ac:dyDescent="0.25">
      <c r="A61" s="11"/>
      <c r="B61" s="13"/>
    </row>
    <row r="62" spans="1:2" x14ac:dyDescent="0.25">
      <c r="A62" s="11"/>
      <c r="B62" s="13"/>
    </row>
    <row r="63" spans="1:2" x14ac:dyDescent="0.25">
      <c r="A63" s="11"/>
      <c r="B63" s="13"/>
    </row>
    <row r="64" spans="1:2" x14ac:dyDescent="0.25">
      <c r="A64" s="11"/>
      <c r="B64" s="13"/>
    </row>
    <row r="65" spans="1:2" x14ac:dyDescent="0.25">
      <c r="A65" s="11"/>
      <c r="B65" s="13"/>
    </row>
    <row r="66" spans="1:2" x14ac:dyDescent="0.25">
      <c r="A66" s="11"/>
      <c r="B66" s="13"/>
    </row>
    <row r="67" spans="1:2" x14ac:dyDescent="0.25">
      <c r="A67" s="11"/>
      <c r="B67" s="13"/>
    </row>
    <row r="68" spans="1:2" x14ac:dyDescent="0.25">
      <c r="A68" s="11"/>
      <c r="B68" s="13"/>
    </row>
    <row r="69" spans="1:2" x14ac:dyDescent="0.25">
      <c r="A69" s="11"/>
      <c r="B69" s="13"/>
    </row>
    <row r="70" spans="1:2" x14ac:dyDescent="0.25">
      <c r="A70" s="11"/>
      <c r="B70" s="13"/>
    </row>
    <row r="71" spans="1:2" x14ac:dyDescent="0.25">
      <c r="A71" s="11"/>
      <c r="B71" s="13"/>
    </row>
    <row r="72" spans="1:2" x14ac:dyDescent="0.25">
      <c r="A72" s="11"/>
      <c r="B72" s="13"/>
    </row>
    <row r="73" spans="1:2" x14ac:dyDescent="0.25">
      <c r="A73" s="11"/>
      <c r="B73" s="13"/>
    </row>
    <row r="74" spans="1:2" x14ac:dyDescent="0.25">
      <c r="A74" s="11"/>
      <c r="B74" s="13"/>
    </row>
    <row r="75" spans="1:2" x14ac:dyDescent="0.25">
      <c r="A75" s="11"/>
      <c r="B75" s="13"/>
    </row>
    <row r="76" spans="1:2" x14ac:dyDescent="0.25">
      <c r="A76" s="11"/>
      <c r="B76" s="13"/>
    </row>
    <row r="77" spans="1:2" x14ac:dyDescent="0.25">
      <c r="A77" s="11"/>
      <c r="B77" s="13"/>
    </row>
    <row r="78" spans="1:2" x14ac:dyDescent="0.25">
      <c r="A78" s="11"/>
      <c r="B78" s="10"/>
    </row>
    <row r="79" spans="1:2" x14ac:dyDescent="0.25">
      <c r="A79" s="11"/>
      <c r="B79" s="14"/>
    </row>
    <row r="80" spans="1:2" x14ac:dyDescent="0.25">
      <c r="A80" s="11"/>
      <c r="B80" s="10"/>
    </row>
  </sheetData>
  <pageMargins left="0.7" right="0.7" top="0.75" bottom="0.7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topLeftCell="A4" workbookViewId="0">
      <selection activeCell="E34" sqref="E34"/>
    </sheetView>
  </sheetViews>
  <sheetFormatPr defaultRowHeight="15" x14ac:dyDescent="0.25"/>
  <cols>
    <col min="2" max="2" width="12.85546875" customWidth="1"/>
    <col min="3" max="3" width="18.140625" customWidth="1"/>
    <col min="4" max="5" width="13.42578125" customWidth="1"/>
    <col min="6" max="7" width="15.5703125" customWidth="1"/>
    <col min="8" max="8" width="14.85546875" customWidth="1"/>
  </cols>
  <sheetData>
    <row r="1" spans="1:11" ht="15.75" x14ac:dyDescent="0.25">
      <c r="A1" s="105" t="s">
        <v>232</v>
      </c>
    </row>
    <row r="3" spans="1:11" x14ac:dyDescent="0.25">
      <c r="A3" s="134" t="s">
        <v>39</v>
      </c>
      <c r="B3" s="134"/>
      <c r="C3" s="134"/>
      <c r="D3" s="134"/>
      <c r="E3" s="134"/>
      <c r="F3" s="134"/>
      <c r="G3" s="134"/>
      <c r="H3" s="134"/>
    </row>
    <row r="4" spans="1:11" x14ac:dyDescent="0.25">
      <c r="A4" s="100" t="s">
        <v>0</v>
      </c>
      <c r="B4" s="100" t="s">
        <v>0</v>
      </c>
      <c r="C4" s="100" t="s">
        <v>31</v>
      </c>
      <c r="D4" s="101" t="s">
        <v>23</v>
      </c>
      <c r="E4" s="100" t="s">
        <v>24</v>
      </c>
      <c r="F4" s="100" t="s">
        <v>27</v>
      </c>
      <c r="G4" s="101" t="s">
        <v>17</v>
      </c>
      <c r="H4" s="101" t="s">
        <v>30</v>
      </c>
    </row>
    <row r="5" spans="1:11" x14ac:dyDescent="0.25">
      <c r="A5" s="66">
        <v>0</v>
      </c>
      <c r="B5" s="88">
        <v>2018</v>
      </c>
      <c r="C5" s="66" t="s">
        <v>28</v>
      </c>
      <c r="D5" s="66"/>
      <c r="E5" s="68"/>
      <c r="F5" s="68"/>
      <c r="G5" s="68"/>
      <c r="H5" s="68"/>
    </row>
    <row r="6" spans="1:11" x14ac:dyDescent="0.25">
      <c r="A6" s="53">
        <v>0</v>
      </c>
      <c r="B6" s="53">
        <v>2019</v>
      </c>
      <c r="C6" s="53" t="s">
        <v>28</v>
      </c>
      <c r="D6" s="53"/>
      <c r="E6" s="65"/>
      <c r="F6" s="65"/>
      <c r="G6" s="65"/>
      <c r="H6" s="65"/>
    </row>
    <row r="7" spans="1:11" x14ac:dyDescent="0.25">
      <c r="A7" s="66">
        <v>0</v>
      </c>
      <c r="B7" s="88">
        <v>2020</v>
      </c>
      <c r="C7" s="66" t="s">
        <v>28</v>
      </c>
      <c r="D7" s="66"/>
      <c r="E7" s="68"/>
      <c r="F7" s="68"/>
      <c r="G7" s="68"/>
      <c r="H7" s="68"/>
    </row>
    <row r="8" spans="1:11" x14ac:dyDescent="0.25">
      <c r="A8" s="53">
        <v>1</v>
      </c>
      <c r="B8" s="53">
        <v>2021</v>
      </c>
      <c r="C8" s="53" t="s">
        <v>28</v>
      </c>
      <c r="D8" s="53">
        <v>100191</v>
      </c>
      <c r="E8" s="65">
        <v>0</v>
      </c>
      <c r="F8" s="65">
        <f>D8*E8</f>
        <v>0</v>
      </c>
      <c r="G8" s="65">
        <f>F8/1.03^(A8)</f>
        <v>0</v>
      </c>
      <c r="H8" s="65">
        <f>F8/1.07^(A8)</f>
        <v>0</v>
      </c>
      <c r="K8" s="30"/>
    </row>
    <row r="9" spans="1:11" x14ac:dyDescent="0.25">
      <c r="A9" s="66">
        <v>2</v>
      </c>
      <c r="B9" s="88">
        <v>2022</v>
      </c>
      <c r="C9" s="66" t="s">
        <v>28</v>
      </c>
      <c r="D9" s="66">
        <f>D8</f>
        <v>100191</v>
      </c>
      <c r="E9" s="68">
        <v>0</v>
      </c>
      <c r="F9" s="68">
        <f t="shared" ref="F9:F27" si="0">D9*E9</f>
        <v>0</v>
      </c>
      <c r="G9" s="68">
        <f>F9/1.03^(A9)</f>
        <v>0</v>
      </c>
      <c r="H9" s="68">
        <f>F9/1.07^(A9)</f>
        <v>0</v>
      </c>
    </row>
    <row r="10" spans="1:11" x14ac:dyDescent="0.25">
      <c r="A10" s="53">
        <v>3</v>
      </c>
      <c r="B10" s="53">
        <v>2023</v>
      </c>
      <c r="C10" s="53" t="s">
        <v>28</v>
      </c>
      <c r="D10" s="53">
        <f t="shared" ref="D10:D27" si="1">D9</f>
        <v>100191</v>
      </c>
      <c r="E10" s="65">
        <v>0</v>
      </c>
      <c r="F10" s="65">
        <f t="shared" si="0"/>
        <v>0</v>
      </c>
      <c r="G10" s="65">
        <f t="shared" ref="G10:G27" si="2">F10/1.03^(A10)</f>
        <v>0</v>
      </c>
      <c r="H10" s="65">
        <f t="shared" ref="H10:H27" si="3">F10/1.07^(A10)</f>
        <v>0</v>
      </c>
    </row>
    <row r="11" spans="1:11" x14ac:dyDescent="0.25">
      <c r="A11" s="88">
        <v>4</v>
      </c>
      <c r="B11" s="88">
        <v>2024</v>
      </c>
      <c r="C11" s="66" t="s">
        <v>28</v>
      </c>
      <c r="D11" s="66">
        <f t="shared" si="1"/>
        <v>100191</v>
      </c>
      <c r="E11" s="68">
        <v>0</v>
      </c>
      <c r="F11" s="68">
        <f t="shared" si="0"/>
        <v>0</v>
      </c>
      <c r="G11" s="68">
        <f t="shared" si="2"/>
        <v>0</v>
      </c>
      <c r="H11" s="68">
        <f t="shared" si="3"/>
        <v>0</v>
      </c>
    </row>
    <row r="12" spans="1:11" x14ac:dyDescent="0.25">
      <c r="A12" s="53">
        <v>5</v>
      </c>
      <c r="B12" s="53">
        <v>2025</v>
      </c>
      <c r="C12" s="53" t="s">
        <v>28</v>
      </c>
      <c r="D12" s="53">
        <f t="shared" si="1"/>
        <v>100191</v>
      </c>
      <c r="E12" s="65">
        <v>0</v>
      </c>
      <c r="F12" s="65">
        <f t="shared" si="0"/>
        <v>0</v>
      </c>
      <c r="G12" s="65">
        <f t="shared" si="2"/>
        <v>0</v>
      </c>
      <c r="H12" s="65">
        <f t="shared" si="3"/>
        <v>0</v>
      </c>
    </row>
    <row r="13" spans="1:11" x14ac:dyDescent="0.25">
      <c r="A13" s="66">
        <v>6</v>
      </c>
      <c r="B13" s="88">
        <v>2026</v>
      </c>
      <c r="C13" s="66" t="s">
        <v>25</v>
      </c>
      <c r="D13" s="66">
        <f t="shared" si="1"/>
        <v>100191</v>
      </c>
      <c r="E13" s="68">
        <v>0.25</v>
      </c>
      <c r="F13" s="68">
        <f>D13*E13</f>
        <v>25047.75</v>
      </c>
      <c r="G13" s="68">
        <f t="shared" si="2"/>
        <v>20977.096290348003</v>
      </c>
      <c r="H13" s="68">
        <f t="shared" si="3"/>
        <v>16690.373436600054</v>
      </c>
    </row>
    <row r="14" spans="1:11" x14ac:dyDescent="0.25">
      <c r="A14" s="53">
        <v>7</v>
      </c>
      <c r="B14" s="53">
        <v>2027</v>
      </c>
      <c r="C14" s="53" t="s">
        <v>26</v>
      </c>
      <c r="D14" s="53">
        <f t="shared" si="1"/>
        <v>100191</v>
      </c>
      <c r="E14" s="65">
        <v>25</v>
      </c>
      <c r="F14" s="65">
        <f t="shared" si="0"/>
        <v>2504775</v>
      </c>
      <c r="G14" s="65">
        <f t="shared" si="2"/>
        <v>2036611.2903250488</v>
      </c>
      <c r="H14" s="65">
        <f t="shared" si="3"/>
        <v>1559847.9847289766</v>
      </c>
    </row>
    <row r="15" spans="1:11" x14ac:dyDescent="0.25">
      <c r="A15" s="88">
        <v>8</v>
      </c>
      <c r="B15" s="88">
        <v>2028</v>
      </c>
      <c r="C15" s="66" t="s">
        <v>28</v>
      </c>
      <c r="D15" s="66">
        <f t="shared" si="1"/>
        <v>100191</v>
      </c>
      <c r="E15" s="68">
        <v>0</v>
      </c>
      <c r="F15" s="68">
        <v>0</v>
      </c>
      <c r="G15" s="68">
        <f t="shared" si="2"/>
        <v>0</v>
      </c>
      <c r="H15" s="68">
        <f t="shared" si="3"/>
        <v>0</v>
      </c>
    </row>
    <row r="16" spans="1:11" x14ac:dyDescent="0.25">
      <c r="A16" s="53">
        <v>9</v>
      </c>
      <c r="B16" s="53">
        <v>2029</v>
      </c>
      <c r="C16" s="53" t="s">
        <v>28</v>
      </c>
      <c r="D16" s="53">
        <f t="shared" si="1"/>
        <v>100191</v>
      </c>
      <c r="E16" s="65">
        <v>0</v>
      </c>
      <c r="F16" s="65">
        <v>0</v>
      </c>
      <c r="G16" s="65">
        <f t="shared" si="2"/>
        <v>0</v>
      </c>
      <c r="H16" s="65">
        <f t="shared" si="3"/>
        <v>0</v>
      </c>
    </row>
    <row r="17" spans="1:8" x14ac:dyDescent="0.25">
      <c r="A17" s="66">
        <v>10</v>
      </c>
      <c r="B17" s="88">
        <v>2030</v>
      </c>
      <c r="C17" s="66" t="s">
        <v>28</v>
      </c>
      <c r="D17" s="66">
        <f t="shared" si="1"/>
        <v>100191</v>
      </c>
      <c r="E17" s="68">
        <v>0</v>
      </c>
      <c r="F17" s="68">
        <v>0</v>
      </c>
      <c r="G17" s="68">
        <f t="shared" si="2"/>
        <v>0</v>
      </c>
      <c r="H17" s="68">
        <f t="shared" si="3"/>
        <v>0</v>
      </c>
    </row>
    <row r="18" spans="1:8" x14ac:dyDescent="0.25">
      <c r="A18" s="53">
        <v>11</v>
      </c>
      <c r="B18" s="53">
        <v>2031</v>
      </c>
      <c r="C18" s="53" t="s">
        <v>28</v>
      </c>
      <c r="D18" s="53">
        <f t="shared" si="1"/>
        <v>100191</v>
      </c>
      <c r="E18" s="65">
        <v>0</v>
      </c>
      <c r="F18" s="65">
        <v>0</v>
      </c>
      <c r="G18" s="65">
        <f t="shared" si="2"/>
        <v>0</v>
      </c>
      <c r="H18" s="65">
        <f t="shared" si="3"/>
        <v>0</v>
      </c>
    </row>
    <row r="19" spans="1:8" x14ac:dyDescent="0.25">
      <c r="A19" s="88">
        <v>12</v>
      </c>
      <c r="B19" s="88">
        <v>2032</v>
      </c>
      <c r="C19" s="66" t="s">
        <v>29</v>
      </c>
      <c r="D19" s="66">
        <f t="shared" si="1"/>
        <v>100191</v>
      </c>
      <c r="E19" s="68">
        <v>25</v>
      </c>
      <c r="F19" s="68">
        <f t="shared" si="0"/>
        <v>2504775</v>
      </c>
      <c r="G19" s="68">
        <f t="shared" si="2"/>
        <v>1756798.7894103546</v>
      </c>
      <c r="H19" s="68">
        <f t="shared" si="3"/>
        <v>1112150.0552072127</v>
      </c>
    </row>
    <row r="20" spans="1:8" x14ac:dyDescent="0.25">
      <c r="A20" s="53">
        <v>13</v>
      </c>
      <c r="B20" s="53">
        <v>2033</v>
      </c>
      <c r="C20" s="53" t="s">
        <v>28</v>
      </c>
      <c r="D20" s="53">
        <f t="shared" si="1"/>
        <v>100191</v>
      </c>
      <c r="E20" s="65">
        <v>0</v>
      </c>
      <c r="F20" s="65">
        <f t="shared" si="0"/>
        <v>0</v>
      </c>
      <c r="G20" s="65">
        <f t="shared" si="2"/>
        <v>0</v>
      </c>
      <c r="H20" s="65">
        <f t="shared" si="3"/>
        <v>0</v>
      </c>
    </row>
    <row r="21" spans="1:8" x14ac:dyDescent="0.25">
      <c r="A21" s="66">
        <v>14</v>
      </c>
      <c r="B21" s="88">
        <v>2034</v>
      </c>
      <c r="C21" s="66" t="s">
        <v>28</v>
      </c>
      <c r="D21" s="66">
        <f t="shared" si="1"/>
        <v>100191</v>
      </c>
      <c r="E21" s="68">
        <v>0</v>
      </c>
      <c r="F21" s="68">
        <f t="shared" si="0"/>
        <v>0</v>
      </c>
      <c r="G21" s="68">
        <f t="shared" si="2"/>
        <v>0</v>
      </c>
      <c r="H21" s="68">
        <f t="shared" si="3"/>
        <v>0</v>
      </c>
    </row>
    <row r="22" spans="1:8" x14ac:dyDescent="0.25">
      <c r="A22" s="53">
        <v>15</v>
      </c>
      <c r="B22" s="53">
        <v>2035</v>
      </c>
      <c r="C22" s="53" t="s">
        <v>28</v>
      </c>
      <c r="D22" s="53">
        <f t="shared" si="1"/>
        <v>100191</v>
      </c>
      <c r="E22" s="65">
        <v>0</v>
      </c>
      <c r="F22" s="65">
        <f t="shared" si="0"/>
        <v>0</v>
      </c>
      <c r="G22" s="65">
        <f t="shared" si="2"/>
        <v>0</v>
      </c>
      <c r="H22" s="65">
        <f t="shared" si="3"/>
        <v>0</v>
      </c>
    </row>
    <row r="23" spans="1:8" x14ac:dyDescent="0.25">
      <c r="A23" s="88">
        <v>16</v>
      </c>
      <c r="B23" s="88">
        <v>2036</v>
      </c>
      <c r="C23" s="66" t="s">
        <v>28</v>
      </c>
      <c r="D23" s="66">
        <f t="shared" si="1"/>
        <v>100191</v>
      </c>
      <c r="E23" s="68">
        <v>0</v>
      </c>
      <c r="F23" s="68">
        <f t="shared" si="0"/>
        <v>0</v>
      </c>
      <c r="G23" s="68">
        <f t="shared" si="2"/>
        <v>0</v>
      </c>
      <c r="H23" s="68">
        <f t="shared" si="3"/>
        <v>0</v>
      </c>
    </row>
    <row r="24" spans="1:8" x14ac:dyDescent="0.25">
      <c r="A24" s="53">
        <v>17</v>
      </c>
      <c r="B24" s="53">
        <v>2037</v>
      </c>
      <c r="C24" s="53" t="s">
        <v>25</v>
      </c>
      <c r="D24" s="53">
        <f t="shared" si="1"/>
        <v>100191</v>
      </c>
      <c r="E24" s="65">
        <v>0.25</v>
      </c>
      <c r="F24" s="65">
        <f t="shared" si="0"/>
        <v>25047.75</v>
      </c>
      <c r="G24" s="65">
        <f t="shared" si="2"/>
        <v>15154.300681408369</v>
      </c>
      <c r="H24" s="65">
        <f t="shared" si="3"/>
        <v>7929.4761887474151</v>
      </c>
    </row>
    <row r="25" spans="1:8" x14ac:dyDescent="0.25">
      <c r="A25" s="66">
        <v>18</v>
      </c>
      <c r="B25" s="88">
        <v>2038</v>
      </c>
      <c r="C25" s="66" t="s">
        <v>26</v>
      </c>
      <c r="D25" s="66">
        <f t="shared" si="1"/>
        <v>100191</v>
      </c>
      <c r="E25" s="102">
        <v>25</v>
      </c>
      <c r="F25" s="68">
        <f t="shared" si="0"/>
        <v>2504775</v>
      </c>
      <c r="G25" s="68">
        <f t="shared" si="2"/>
        <v>1471291.3282920746</v>
      </c>
      <c r="H25" s="68">
        <f t="shared" si="3"/>
        <v>741072.54100443132</v>
      </c>
    </row>
    <row r="26" spans="1:8" x14ac:dyDescent="0.25">
      <c r="A26" s="53">
        <v>19</v>
      </c>
      <c r="B26" s="53">
        <v>2039</v>
      </c>
      <c r="C26" s="53" t="s">
        <v>28</v>
      </c>
      <c r="D26" s="53">
        <f t="shared" si="1"/>
        <v>100191</v>
      </c>
      <c r="E26" s="65">
        <v>0</v>
      </c>
      <c r="F26" s="65">
        <f t="shared" si="0"/>
        <v>0</v>
      </c>
      <c r="G26" s="65">
        <f t="shared" si="2"/>
        <v>0</v>
      </c>
      <c r="H26" s="65">
        <f t="shared" si="3"/>
        <v>0</v>
      </c>
    </row>
    <row r="27" spans="1:8" x14ac:dyDescent="0.25">
      <c r="A27" s="88">
        <v>20</v>
      </c>
      <c r="B27" s="88">
        <v>2040</v>
      </c>
      <c r="C27" s="66" t="s">
        <v>28</v>
      </c>
      <c r="D27" s="66">
        <f t="shared" si="1"/>
        <v>100191</v>
      </c>
      <c r="E27" s="68">
        <v>0</v>
      </c>
      <c r="F27" s="68">
        <f t="shared" si="0"/>
        <v>0</v>
      </c>
      <c r="G27" s="68">
        <f t="shared" si="2"/>
        <v>0</v>
      </c>
      <c r="H27" s="68">
        <f t="shared" si="3"/>
        <v>0</v>
      </c>
    </row>
    <row r="28" spans="1:8" x14ac:dyDescent="0.25">
      <c r="A28" s="107"/>
      <c r="B28" s="107"/>
      <c r="C28" s="107"/>
      <c r="D28" s="107"/>
      <c r="E28" s="123"/>
      <c r="F28" s="123"/>
      <c r="G28" s="123"/>
      <c r="H28" s="123"/>
    </row>
    <row r="29" spans="1:8" ht="15.75" thickBot="1" x14ac:dyDescent="0.3">
      <c r="A29" s="111"/>
      <c r="B29" s="111"/>
      <c r="C29" s="111"/>
      <c r="D29" s="111"/>
      <c r="E29" s="111"/>
      <c r="F29" s="120">
        <f>SUM(F7:F28)</f>
        <v>7564420.5</v>
      </c>
      <c r="G29" s="120">
        <f>SUM(G7:G28)</f>
        <v>5300832.8049992342</v>
      </c>
      <c r="H29" s="120">
        <f>SUM(H7:H28)</f>
        <v>3437690.4305659682</v>
      </c>
    </row>
    <row r="31" spans="1:8" x14ac:dyDescent="0.25">
      <c r="H31" s="15"/>
    </row>
    <row r="33" spans="6:7" x14ac:dyDescent="0.25">
      <c r="F33" s="15"/>
      <c r="G33" s="15"/>
    </row>
  </sheetData>
  <mergeCells count="1">
    <mergeCell ref="A3:H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4"/>
  <sheetViews>
    <sheetView zoomScale="90" zoomScaleNormal="90" workbookViewId="0">
      <selection activeCell="F7" sqref="F7"/>
    </sheetView>
  </sheetViews>
  <sheetFormatPr defaultRowHeight="15" x14ac:dyDescent="0.25"/>
  <cols>
    <col min="2" max="2" width="15.5703125" customWidth="1"/>
    <col min="3" max="3" width="12.42578125" customWidth="1"/>
    <col min="4" max="4" width="14.85546875" customWidth="1"/>
    <col min="5" max="6" width="15.5703125" customWidth="1"/>
    <col min="7" max="7" width="13" customWidth="1"/>
    <col min="8" max="8" width="11.5703125" bestFit="1" customWidth="1"/>
    <col min="9" max="9" width="16.42578125" customWidth="1"/>
    <col min="10" max="10" width="15.85546875" customWidth="1"/>
    <col min="11" max="12" width="11.42578125" customWidth="1"/>
    <col min="13" max="13" width="17.28515625" customWidth="1"/>
  </cols>
  <sheetData>
    <row r="1" spans="1:15" ht="15.75" x14ac:dyDescent="0.25">
      <c r="A1" s="105" t="s">
        <v>88</v>
      </c>
    </row>
    <row r="3" spans="1:15" s="17" customFormat="1" ht="60" x14ac:dyDescent="0.25">
      <c r="A3" s="92" t="s">
        <v>44</v>
      </c>
      <c r="B3" s="103" t="s">
        <v>0</v>
      </c>
      <c r="C3" s="103" t="s">
        <v>67</v>
      </c>
      <c r="D3" s="103" t="s">
        <v>36</v>
      </c>
      <c r="E3" s="103" t="s">
        <v>37</v>
      </c>
      <c r="F3" s="103" t="s">
        <v>17</v>
      </c>
      <c r="G3" s="103" t="s">
        <v>30</v>
      </c>
      <c r="H3" s="92" t="s">
        <v>7</v>
      </c>
      <c r="I3" s="92" t="s">
        <v>41</v>
      </c>
      <c r="J3" s="92" t="s">
        <v>42</v>
      </c>
      <c r="K3" s="92" t="s">
        <v>40</v>
      </c>
      <c r="L3" s="92" t="s">
        <v>156</v>
      </c>
      <c r="M3" s="92" t="s">
        <v>144</v>
      </c>
    </row>
    <row r="4" spans="1:15" x14ac:dyDescent="0.25">
      <c r="A4" s="97">
        <v>1</v>
      </c>
      <c r="B4" s="66">
        <v>2023</v>
      </c>
      <c r="C4" s="81">
        <f>16+0</f>
        <v>16</v>
      </c>
      <c r="D4" s="82">
        <v>115</v>
      </c>
      <c r="E4" s="64">
        <f>$C$4*$D$4</f>
        <v>1840</v>
      </c>
      <c r="F4" s="83"/>
      <c r="G4" s="83"/>
      <c r="H4" s="104">
        <f>930*$C$4/2205</f>
        <v>6.7482993197278915</v>
      </c>
      <c r="I4" s="51">
        <v>39</v>
      </c>
      <c r="J4" s="51">
        <f>I4*(242.839/207.342)</f>
        <v>45.676809329513553</v>
      </c>
      <c r="K4" s="51">
        <f t="shared" ref="K4:K23" si="0">J4/(1.03^A4)</f>
        <v>44.346416824770436</v>
      </c>
      <c r="L4" s="51">
        <f>H4*K4</f>
        <v>299.26289449096788</v>
      </c>
      <c r="M4" s="51">
        <f>L4/(1.07/1.03)^A4</f>
        <v>288.07549656607188</v>
      </c>
      <c r="O4" s="40"/>
    </row>
    <row r="5" spans="1:15" x14ac:dyDescent="0.25">
      <c r="A5" s="66">
        <v>2</v>
      </c>
      <c r="B5" s="66">
        <v>2024</v>
      </c>
      <c r="C5" s="84"/>
      <c r="D5" s="85"/>
      <c r="E5" s="67">
        <f>$C$4*$D$4</f>
        <v>1840</v>
      </c>
      <c r="F5" s="83"/>
      <c r="G5" s="83"/>
      <c r="H5" s="46">
        <f>930*$C$4/2205</f>
        <v>6.7482993197278915</v>
      </c>
      <c r="I5" s="52">
        <v>40</v>
      </c>
      <c r="J5" s="52">
        <f t="shared" ref="J5:J23" si="1">I5*(242.839/207.342)</f>
        <v>46.848009568731854</v>
      </c>
      <c r="K5" s="52">
        <f t="shared" si="0"/>
        <v>44.158742170545629</v>
      </c>
      <c r="L5" s="52">
        <f>H5*K5</f>
        <v>297.9964097495324</v>
      </c>
      <c r="M5" s="52">
        <f t="shared" ref="M5:M23" si="2">L5/(1.07/1.03)^A5</f>
        <v>276.13275491595681</v>
      </c>
      <c r="O5" s="40"/>
    </row>
    <row r="6" spans="1:15" x14ac:dyDescent="0.25">
      <c r="A6" s="97">
        <v>3</v>
      </c>
      <c r="B6" s="97">
        <v>2025</v>
      </c>
      <c r="C6" s="84"/>
      <c r="D6" s="85"/>
      <c r="E6" s="64">
        <f t="shared" ref="E6:E23" si="3">$C$4*$D$4</f>
        <v>1840</v>
      </c>
      <c r="F6" s="83"/>
      <c r="G6" s="83"/>
      <c r="H6" s="104">
        <f>930*$C$4/2205</f>
        <v>6.7482993197278915</v>
      </c>
      <c r="I6" s="51">
        <v>42</v>
      </c>
      <c r="J6" s="51">
        <f t="shared" si="1"/>
        <v>49.190410047168442</v>
      </c>
      <c r="K6" s="51">
        <f t="shared" si="0"/>
        <v>45.016193474828057</v>
      </c>
      <c r="L6" s="51">
        <f t="shared" ref="L6:L23" si="4">H6*K6</f>
        <v>303.78274780292134</v>
      </c>
      <c r="M6" s="51">
        <f t="shared" si="2"/>
        <v>270.97139501098559</v>
      </c>
      <c r="O6" s="40"/>
    </row>
    <row r="7" spans="1:15" x14ac:dyDescent="0.25">
      <c r="A7" s="66">
        <v>4</v>
      </c>
      <c r="B7" s="66">
        <v>2026</v>
      </c>
      <c r="C7" s="84"/>
      <c r="D7" s="85"/>
      <c r="E7" s="67">
        <f t="shared" si="3"/>
        <v>1840</v>
      </c>
      <c r="F7" s="83"/>
      <c r="G7" s="83"/>
      <c r="H7" s="46">
        <f t="shared" ref="H7:H23" si="5">930*$C$4/2205</f>
        <v>6.7482993197278915</v>
      </c>
      <c r="I7" s="52">
        <v>43</v>
      </c>
      <c r="J7" s="52">
        <f t="shared" si="1"/>
        <v>50.361610286386743</v>
      </c>
      <c r="K7" s="52">
        <f t="shared" si="0"/>
        <v>44.745638451632153</v>
      </c>
      <c r="L7" s="52">
        <f t="shared" si="4"/>
        <v>301.95696152393947</v>
      </c>
      <c r="M7" s="52">
        <f t="shared" si="2"/>
        <v>259.27392045999966</v>
      </c>
      <c r="O7" s="40"/>
    </row>
    <row r="8" spans="1:15" x14ac:dyDescent="0.25">
      <c r="A8" s="97">
        <v>5</v>
      </c>
      <c r="B8" s="97">
        <v>2027</v>
      </c>
      <c r="C8" s="84"/>
      <c r="D8" s="85"/>
      <c r="E8" s="64">
        <f t="shared" si="3"/>
        <v>1840</v>
      </c>
      <c r="F8" s="83"/>
      <c r="G8" s="83"/>
      <c r="H8" s="104">
        <f t="shared" si="5"/>
        <v>6.7482993197278915</v>
      </c>
      <c r="I8" s="51">
        <v>43</v>
      </c>
      <c r="J8" s="51">
        <f t="shared" si="1"/>
        <v>50.361610286386743</v>
      </c>
      <c r="K8" s="51">
        <f t="shared" si="0"/>
        <v>43.442367428769082</v>
      </c>
      <c r="L8" s="51">
        <f t="shared" si="4"/>
        <v>293.16209856693149</v>
      </c>
      <c r="M8" s="51">
        <f t="shared" si="2"/>
        <v>242.31207519626133</v>
      </c>
      <c r="O8" s="40"/>
    </row>
    <row r="9" spans="1:15" x14ac:dyDescent="0.25">
      <c r="A9" s="66">
        <v>6</v>
      </c>
      <c r="B9" s="66">
        <v>2028</v>
      </c>
      <c r="C9" s="84"/>
      <c r="D9" s="85"/>
      <c r="E9" s="67">
        <f t="shared" si="3"/>
        <v>1840</v>
      </c>
      <c r="F9" s="83"/>
      <c r="G9" s="83"/>
      <c r="H9" s="46">
        <f t="shared" si="5"/>
        <v>6.7482993197278915</v>
      </c>
      <c r="I9" s="52">
        <v>44</v>
      </c>
      <c r="J9" s="52">
        <f t="shared" si="1"/>
        <v>51.532810525605036</v>
      </c>
      <c r="K9" s="52">
        <f t="shared" si="0"/>
        <v>43.157917517855935</v>
      </c>
      <c r="L9" s="52">
        <f t="shared" si="4"/>
        <v>291.24254542661964</v>
      </c>
      <c r="M9" s="52">
        <f t="shared" si="2"/>
        <v>231.72639227636378</v>
      </c>
      <c r="O9" s="40"/>
    </row>
    <row r="10" spans="1:15" x14ac:dyDescent="0.25">
      <c r="A10" s="97">
        <v>7</v>
      </c>
      <c r="B10" s="97">
        <v>2029</v>
      </c>
      <c r="C10" s="84"/>
      <c r="D10" s="85"/>
      <c r="E10" s="64">
        <f t="shared" si="3"/>
        <v>1840</v>
      </c>
      <c r="F10" s="83"/>
      <c r="G10" s="83"/>
      <c r="H10" s="104">
        <f t="shared" si="5"/>
        <v>6.7482993197278915</v>
      </c>
      <c r="I10" s="51">
        <v>45</v>
      </c>
      <c r="J10" s="51">
        <f t="shared" si="1"/>
        <v>52.70401076482333</v>
      </c>
      <c r="K10" s="51">
        <f t="shared" si="0"/>
        <v>42.853183766626586</v>
      </c>
      <c r="L10" s="51">
        <f t="shared" si="4"/>
        <v>289.18611086050049</v>
      </c>
      <c r="M10" s="51">
        <f t="shared" si="2"/>
        <v>221.48869270255668</v>
      </c>
      <c r="O10" s="40"/>
    </row>
    <row r="11" spans="1:15" x14ac:dyDescent="0.25">
      <c r="A11" s="66">
        <v>8</v>
      </c>
      <c r="B11" s="66">
        <v>2030</v>
      </c>
      <c r="C11" s="84"/>
      <c r="D11" s="85"/>
      <c r="E11" s="67">
        <f t="shared" si="3"/>
        <v>1840</v>
      </c>
      <c r="F11" s="83"/>
      <c r="G11" s="83"/>
      <c r="H11" s="46">
        <f t="shared" si="5"/>
        <v>6.7482993197278915</v>
      </c>
      <c r="I11" s="52">
        <v>46</v>
      </c>
      <c r="J11" s="52">
        <f t="shared" si="1"/>
        <v>53.875211004041631</v>
      </c>
      <c r="K11" s="52">
        <f t="shared" si="0"/>
        <v>42.529589067202231</v>
      </c>
      <c r="L11" s="52">
        <f t="shared" si="4"/>
        <v>287.00239697050756</v>
      </c>
      <c r="M11" s="52">
        <f t="shared" si="2"/>
        <v>211.59875107617052</v>
      </c>
      <c r="O11" s="40"/>
    </row>
    <row r="12" spans="1:15" x14ac:dyDescent="0.25">
      <c r="A12" s="97">
        <v>9</v>
      </c>
      <c r="B12" s="97">
        <v>2031</v>
      </c>
      <c r="C12" s="84"/>
      <c r="D12" s="85"/>
      <c r="E12" s="64">
        <f t="shared" si="3"/>
        <v>1840</v>
      </c>
      <c r="F12" s="83"/>
      <c r="G12" s="83"/>
      <c r="H12" s="104">
        <f t="shared" si="5"/>
        <v>6.7482993197278915</v>
      </c>
      <c r="I12" s="51">
        <v>47</v>
      </c>
      <c r="J12" s="51">
        <f t="shared" si="1"/>
        <v>55.046411243259925</v>
      </c>
      <c r="K12" s="51">
        <f t="shared" si="0"/>
        <v>42.188490632302759</v>
      </c>
      <c r="L12" s="51">
        <f t="shared" si="4"/>
        <v>284.70056263431525</v>
      </c>
      <c r="M12" s="51">
        <f t="shared" si="2"/>
        <v>202.05488217350702</v>
      </c>
      <c r="O12" s="40"/>
    </row>
    <row r="13" spans="1:15" x14ac:dyDescent="0.25">
      <c r="A13" s="66">
        <v>10</v>
      </c>
      <c r="B13" s="66">
        <v>2032</v>
      </c>
      <c r="C13" s="84"/>
      <c r="D13" s="85"/>
      <c r="E13" s="67">
        <f t="shared" si="3"/>
        <v>1840</v>
      </c>
      <c r="F13" s="83"/>
      <c r="G13" s="83"/>
      <c r="H13" s="46">
        <f t="shared" si="5"/>
        <v>6.7482993197278915</v>
      </c>
      <c r="I13" s="52">
        <v>48</v>
      </c>
      <c r="J13" s="52">
        <f t="shared" si="1"/>
        <v>56.217611482478219</v>
      </c>
      <c r="K13" s="52">
        <f t="shared" si="0"/>
        <v>41.83118261414031</v>
      </c>
      <c r="L13" s="52">
        <f t="shared" si="4"/>
        <v>282.28934117841624</v>
      </c>
      <c r="M13" s="52">
        <f t="shared" si="2"/>
        <v>192.85413291565592</v>
      </c>
      <c r="O13" s="40"/>
    </row>
    <row r="14" spans="1:15" x14ac:dyDescent="0.25">
      <c r="A14" s="97">
        <v>11</v>
      </c>
      <c r="B14" s="97">
        <v>2033</v>
      </c>
      <c r="C14" s="84"/>
      <c r="D14" s="85"/>
      <c r="E14" s="64">
        <f t="shared" si="3"/>
        <v>1840</v>
      </c>
      <c r="F14" s="83"/>
      <c r="G14" s="83"/>
      <c r="H14" s="104">
        <f t="shared" si="5"/>
        <v>6.7482993197278915</v>
      </c>
      <c r="I14" s="51">
        <v>49</v>
      </c>
      <c r="J14" s="51">
        <f t="shared" si="1"/>
        <v>57.38881172169652</v>
      </c>
      <c r="K14" s="51">
        <f t="shared" si="0"/>
        <v>41.45889862647401</v>
      </c>
      <c r="L14" s="51">
        <f t="shared" si="4"/>
        <v>279.77705739770215</v>
      </c>
      <c r="M14" s="51">
        <f t="shared" si="2"/>
        <v>183.99245546859694</v>
      </c>
      <c r="O14" s="40"/>
    </row>
    <row r="15" spans="1:15" x14ac:dyDescent="0.25">
      <c r="A15" s="66">
        <v>12</v>
      </c>
      <c r="B15" s="66">
        <v>2034</v>
      </c>
      <c r="C15" s="84"/>
      <c r="D15" s="85"/>
      <c r="E15" s="67">
        <f t="shared" si="3"/>
        <v>1840</v>
      </c>
      <c r="F15" s="83"/>
      <c r="G15" s="83"/>
      <c r="H15" s="46">
        <f t="shared" si="5"/>
        <v>6.7482993197278915</v>
      </c>
      <c r="I15" s="52">
        <v>50</v>
      </c>
      <c r="J15" s="52">
        <f t="shared" si="1"/>
        <v>58.560011960914814</v>
      </c>
      <c r="K15" s="52">
        <f t="shared" si="0"/>
        <v>41.072814173245511</v>
      </c>
      <c r="L15" s="52">
        <f t="shared" si="4"/>
        <v>277.17164394462282</v>
      </c>
      <c r="M15" s="52">
        <f t="shared" si="2"/>
        <v>175.46486312092028</v>
      </c>
      <c r="O15" s="40"/>
    </row>
    <row r="16" spans="1:15" x14ac:dyDescent="0.25">
      <c r="A16" s="97">
        <v>13</v>
      </c>
      <c r="B16" s="97">
        <v>2035</v>
      </c>
      <c r="C16" s="84"/>
      <c r="D16" s="85"/>
      <c r="E16" s="64">
        <f t="shared" si="3"/>
        <v>1840</v>
      </c>
      <c r="F16" s="83"/>
      <c r="G16" s="83"/>
      <c r="H16" s="104">
        <f t="shared" si="5"/>
        <v>6.7482993197278915</v>
      </c>
      <c r="I16" s="51">
        <v>51</v>
      </c>
      <c r="J16" s="51">
        <f t="shared" si="1"/>
        <v>59.731212200133115</v>
      </c>
      <c r="K16" s="51">
        <f t="shared" si="0"/>
        <v>40.6740489870975</v>
      </c>
      <c r="L16" s="51">
        <f t="shared" si="4"/>
        <v>274.48065711020899</v>
      </c>
      <c r="M16" s="51">
        <f t="shared" si="2"/>
        <v>167.26557045171842</v>
      </c>
      <c r="O16" s="40"/>
    </row>
    <row r="17" spans="1:15" x14ac:dyDescent="0.25">
      <c r="A17" s="66">
        <v>14</v>
      </c>
      <c r="B17" s="66">
        <v>2036</v>
      </c>
      <c r="C17" s="84"/>
      <c r="D17" s="85"/>
      <c r="E17" s="67">
        <f t="shared" si="3"/>
        <v>1840</v>
      </c>
      <c r="F17" s="83"/>
      <c r="G17" s="83"/>
      <c r="H17" s="46">
        <f t="shared" si="5"/>
        <v>6.7482993197278915</v>
      </c>
      <c r="I17" s="52">
        <v>52</v>
      </c>
      <c r="J17" s="52">
        <f t="shared" si="1"/>
        <v>60.902412439351409</v>
      </c>
      <c r="K17" s="52">
        <f t="shared" si="0"/>
        <v>40.263669280964585</v>
      </c>
      <c r="L17" s="52">
        <f t="shared" si="4"/>
        <v>271.71129201848214</v>
      </c>
      <c r="M17" s="52">
        <f t="shared" si="2"/>
        <v>159.38811917700855</v>
      </c>
      <c r="O17" s="40"/>
    </row>
    <row r="18" spans="1:15" x14ac:dyDescent="0.25">
      <c r="A18" s="97">
        <v>15</v>
      </c>
      <c r="B18" s="97">
        <v>2037</v>
      </c>
      <c r="C18" s="84"/>
      <c r="D18" s="85"/>
      <c r="E18" s="64">
        <f t="shared" si="3"/>
        <v>1840</v>
      </c>
      <c r="F18" s="83"/>
      <c r="G18" s="83"/>
      <c r="H18" s="104">
        <f t="shared" si="5"/>
        <v>6.7482993197278915</v>
      </c>
      <c r="I18" s="51">
        <v>52</v>
      </c>
      <c r="J18" s="51">
        <f t="shared" si="1"/>
        <v>60.902412439351409</v>
      </c>
      <c r="K18" s="51">
        <f t="shared" si="0"/>
        <v>39.090941049480179</v>
      </c>
      <c r="L18" s="51">
        <f t="shared" si="4"/>
        <v>263.79737089173022</v>
      </c>
      <c r="M18" s="51">
        <f t="shared" si="2"/>
        <v>148.96085904393323</v>
      </c>
      <c r="O18" s="40"/>
    </row>
    <row r="19" spans="1:15" x14ac:dyDescent="0.25">
      <c r="A19" s="66">
        <v>16</v>
      </c>
      <c r="B19" s="66">
        <v>2038</v>
      </c>
      <c r="C19" s="84"/>
      <c r="D19" s="85"/>
      <c r="E19" s="67">
        <f t="shared" si="3"/>
        <v>1840</v>
      </c>
      <c r="F19" s="83"/>
      <c r="G19" s="83"/>
      <c r="H19" s="46">
        <f t="shared" si="5"/>
        <v>6.7482993197278915</v>
      </c>
      <c r="I19" s="52">
        <v>53</v>
      </c>
      <c r="J19" s="52">
        <f t="shared" si="1"/>
        <v>62.073612678569702</v>
      </c>
      <c r="K19" s="52">
        <f t="shared" si="0"/>
        <v>38.68222321923917</v>
      </c>
      <c r="L19" s="52">
        <f t="shared" si="4"/>
        <v>261.03922063595417</v>
      </c>
      <c r="M19" s="52">
        <f t="shared" si="2"/>
        <v>141.89298219497599</v>
      </c>
      <c r="O19" s="40"/>
    </row>
    <row r="20" spans="1:15" x14ac:dyDescent="0.25">
      <c r="A20" s="97">
        <v>17</v>
      </c>
      <c r="B20" s="97">
        <v>2039</v>
      </c>
      <c r="C20" s="84"/>
      <c r="D20" s="85"/>
      <c r="E20" s="64">
        <f t="shared" si="3"/>
        <v>1840</v>
      </c>
      <c r="F20" s="83"/>
      <c r="G20" s="83"/>
      <c r="H20" s="104">
        <f t="shared" si="5"/>
        <v>6.7482993197278915</v>
      </c>
      <c r="I20" s="51">
        <v>54</v>
      </c>
      <c r="J20" s="51">
        <f t="shared" si="1"/>
        <v>63.244812917788003</v>
      </c>
      <c r="K20" s="51">
        <f t="shared" si="0"/>
        <v>38.264151929637571</v>
      </c>
      <c r="L20" s="51">
        <f t="shared" si="4"/>
        <v>258.21795043673791</v>
      </c>
      <c r="M20" s="51">
        <f t="shared" si="2"/>
        <v>135.11234418142658</v>
      </c>
      <c r="O20" s="40"/>
    </row>
    <row r="21" spans="1:15" x14ac:dyDescent="0.25">
      <c r="A21" s="66">
        <v>18</v>
      </c>
      <c r="B21" s="66">
        <v>2040</v>
      </c>
      <c r="C21" s="84"/>
      <c r="D21" s="85"/>
      <c r="E21" s="67">
        <f t="shared" si="3"/>
        <v>1840</v>
      </c>
      <c r="F21" s="83"/>
      <c r="G21" s="83"/>
      <c r="H21" s="46">
        <f t="shared" si="5"/>
        <v>6.7482993197278915</v>
      </c>
      <c r="I21" s="52">
        <v>55</v>
      </c>
      <c r="J21" s="52">
        <f t="shared" si="1"/>
        <v>64.41601315700629</v>
      </c>
      <c r="K21" s="52">
        <f t="shared" si="0"/>
        <v>37.837618772565015</v>
      </c>
      <c r="L21" s="52">
        <f t="shared" si="4"/>
        <v>255.33957702302379</v>
      </c>
      <c r="M21" s="52">
        <f t="shared" si="2"/>
        <v>128.61161180301943</v>
      </c>
      <c r="O21" s="40"/>
    </row>
    <row r="22" spans="1:15" x14ac:dyDescent="0.25">
      <c r="A22" s="97">
        <v>19</v>
      </c>
      <c r="B22" s="97">
        <v>2041</v>
      </c>
      <c r="C22" s="84"/>
      <c r="D22" s="85"/>
      <c r="E22" s="64">
        <f t="shared" si="3"/>
        <v>1840</v>
      </c>
      <c r="F22" s="83"/>
      <c r="G22" s="83"/>
      <c r="H22" s="104">
        <f t="shared" si="5"/>
        <v>6.7482993197278915</v>
      </c>
      <c r="I22" s="51">
        <v>56</v>
      </c>
      <c r="J22" s="51">
        <f t="shared" si="1"/>
        <v>65.587213396224598</v>
      </c>
      <c r="K22" s="51">
        <f t="shared" si="0"/>
        <v>37.403471337398791</v>
      </c>
      <c r="L22" s="51">
        <f t="shared" si="4"/>
        <v>252.40982018162995</v>
      </c>
      <c r="M22" s="51">
        <f t="shared" si="2"/>
        <v>122.38318200457248</v>
      </c>
      <c r="O22" s="40"/>
    </row>
    <row r="23" spans="1:15" x14ac:dyDescent="0.25">
      <c r="A23" s="106">
        <v>20</v>
      </c>
      <c r="B23" s="106">
        <v>2042</v>
      </c>
      <c r="C23" s="84"/>
      <c r="D23" s="85"/>
      <c r="E23" s="109">
        <f t="shared" si="3"/>
        <v>1840</v>
      </c>
      <c r="F23" s="83"/>
      <c r="G23" s="83"/>
      <c r="H23" s="124">
        <f t="shared" si="5"/>
        <v>6.7482993197278915</v>
      </c>
      <c r="I23" s="122">
        <v>57</v>
      </c>
      <c r="J23" s="122">
        <f t="shared" si="1"/>
        <v>66.758413635442892</v>
      </c>
      <c r="K23" s="122">
        <f t="shared" si="0"/>
        <v>36.962515017887149</v>
      </c>
      <c r="L23" s="122">
        <f t="shared" si="4"/>
        <v>249.43411495063984</v>
      </c>
      <c r="M23" s="122">
        <f t="shared" si="2"/>
        <v>116.41924856910263</v>
      </c>
      <c r="O23" s="40"/>
    </row>
    <row r="24" spans="1:15" ht="15.75" thickBot="1" x14ac:dyDescent="0.3">
      <c r="A24" s="33"/>
      <c r="B24" s="33" t="s">
        <v>32</v>
      </c>
      <c r="C24" s="21"/>
      <c r="D24" s="21"/>
      <c r="E24" s="125">
        <f>SUM(E4:E23)</f>
        <v>36800</v>
      </c>
      <c r="F24" s="126">
        <f>E24/1.03^20</f>
        <v>20375.267754057128</v>
      </c>
      <c r="G24" s="126">
        <f>E24/1.07^20</f>
        <v>9509.8193035503682</v>
      </c>
      <c r="H24" s="21"/>
      <c r="I24" s="36"/>
      <c r="J24" s="36"/>
      <c r="K24" s="36"/>
      <c r="L24" s="37">
        <v>5950.9168731491009</v>
      </c>
      <c r="M24" s="37">
        <f>SUM(M4:M23)</f>
        <v>3875.9797293088041</v>
      </c>
    </row>
    <row r="26" spans="1:15" x14ac:dyDescent="0.25">
      <c r="A26" t="s">
        <v>69</v>
      </c>
    </row>
    <row r="27" spans="1:15" x14ac:dyDescent="0.25">
      <c r="A27" t="s">
        <v>70</v>
      </c>
    </row>
    <row r="28" spans="1:15" x14ac:dyDescent="0.25">
      <c r="A28" t="s">
        <v>71</v>
      </c>
    </row>
    <row r="29" spans="1:15" x14ac:dyDescent="0.25">
      <c r="A29" s="28" t="s">
        <v>72</v>
      </c>
    </row>
    <row r="30" spans="1:15" x14ac:dyDescent="0.25">
      <c r="A30" t="s">
        <v>73</v>
      </c>
    </row>
    <row r="31" spans="1:15" x14ac:dyDescent="0.25">
      <c r="A31" t="s">
        <v>74</v>
      </c>
    </row>
    <row r="32" spans="1:15" x14ac:dyDescent="0.25">
      <c r="A32" t="s">
        <v>75</v>
      </c>
    </row>
    <row r="33" spans="1:1" x14ac:dyDescent="0.25">
      <c r="A33" t="s">
        <v>155</v>
      </c>
    </row>
    <row r="34" spans="1:1" x14ac:dyDescent="0.25">
      <c r="A34" s="20" t="s">
        <v>76</v>
      </c>
    </row>
    <row r="35" spans="1:1" x14ac:dyDescent="0.25">
      <c r="A35" s="20" t="s">
        <v>154</v>
      </c>
    </row>
    <row r="36" spans="1:1" x14ac:dyDescent="0.25">
      <c r="A36" s="20" t="s">
        <v>81</v>
      </c>
    </row>
    <row r="37" spans="1:1" x14ac:dyDescent="0.25">
      <c r="A37" s="18" t="s">
        <v>77</v>
      </c>
    </row>
    <row r="39" spans="1:1" x14ac:dyDescent="0.25">
      <c r="A39" s="32" t="s">
        <v>114</v>
      </c>
    </row>
    <row r="40" spans="1:1" x14ac:dyDescent="0.25">
      <c r="A40" t="s">
        <v>115</v>
      </c>
    </row>
    <row r="42" spans="1:1" x14ac:dyDescent="0.25">
      <c r="A42" s="32" t="s">
        <v>116</v>
      </c>
    </row>
    <row r="43" spans="1:1" x14ac:dyDescent="0.25">
      <c r="A43" t="s">
        <v>117</v>
      </c>
    </row>
    <row r="44" spans="1:1" x14ac:dyDescent="0.25">
      <c r="A44" t="s">
        <v>118</v>
      </c>
    </row>
  </sheetData>
  <hyperlinks>
    <hyperlink ref="A39" r:id="rId1" xr:uid="{00000000-0004-0000-0600-000000000000}"/>
    <hyperlink ref="A42" r:id="rId2" xr:uid="{00000000-0004-0000-0600-000001000000}"/>
  </hyperlinks>
  <pageMargins left="0.7" right="0.7" top="0.75" bottom="0.75" header="0.3" footer="0.3"/>
  <pageSetup scale="68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76"/>
  <sheetViews>
    <sheetView zoomScale="90" zoomScaleNormal="90" workbookViewId="0">
      <pane ySplit="3" topLeftCell="A49" activePane="bottomLeft" state="frozen"/>
      <selection pane="bottomLeft" activeCell="J64" sqref="J64"/>
    </sheetView>
  </sheetViews>
  <sheetFormatPr defaultRowHeight="15" x14ac:dyDescent="0.25"/>
  <cols>
    <col min="2" max="2" width="12.5703125" style="1" customWidth="1"/>
    <col min="3" max="3" width="14" customWidth="1"/>
    <col min="4" max="9" width="12.5703125" customWidth="1"/>
    <col min="10" max="10" width="15.42578125" customWidth="1"/>
    <col min="11" max="11" width="14.5703125" customWidth="1"/>
    <col min="12" max="17" width="12.5703125" customWidth="1"/>
    <col min="18" max="19" width="12.5703125" style="1" customWidth="1"/>
    <col min="20" max="21" width="12.5703125" customWidth="1"/>
  </cols>
  <sheetData>
    <row r="1" spans="1:23" ht="15.75" x14ac:dyDescent="0.25">
      <c r="A1" s="105" t="s">
        <v>233</v>
      </c>
      <c r="Q1" s="1"/>
      <c r="S1"/>
    </row>
    <row r="2" spans="1:23" x14ac:dyDescent="0.25">
      <c r="Q2" s="1"/>
      <c r="S2"/>
    </row>
    <row r="3" spans="1:23" s="2" customFormat="1" ht="90" x14ac:dyDescent="0.25">
      <c r="A3" s="92" t="s">
        <v>44</v>
      </c>
      <c r="B3" s="92" t="s">
        <v>0</v>
      </c>
      <c r="C3" s="92" t="s">
        <v>122</v>
      </c>
      <c r="D3" s="92" t="s">
        <v>123</v>
      </c>
      <c r="E3" s="92" t="s">
        <v>78</v>
      </c>
      <c r="F3" s="92" t="s">
        <v>5</v>
      </c>
      <c r="G3" s="92" t="s">
        <v>107</v>
      </c>
      <c r="H3" s="92" t="s">
        <v>7</v>
      </c>
      <c r="I3" s="92" t="s">
        <v>41</v>
      </c>
      <c r="J3" s="92" t="s">
        <v>113</v>
      </c>
      <c r="K3" s="92" t="s">
        <v>40</v>
      </c>
      <c r="L3" s="92" t="s">
        <v>8</v>
      </c>
      <c r="M3" s="92" t="s">
        <v>13</v>
      </c>
      <c r="N3" s="92" t="s">
        <v>14</v>
      </c>
      <c r="O3" s="92" t="s">
        <v>15</v>
      </c>
      <c r="P3" s="92" t="s">
        <v>16</v>
      </c>
    </row>
    <row r="4" spans="1:23" s="1" customFormat="1" x14ac:dyDescent="0.25">
      <c r="A4" s="53">
        <v>0</v>
      </c>
      <c r="B4" s="53">
        <v>2018</v>
      </c>
      <c r="C4" s="47">
        <v>0</v>
      </c>
      <c r="D4" s="53"/>
      <c r="E4" s="48"/>
      <c r="F4" s="48"/>
      <c r="G4" s="64"/>
      <c r="H4" s="47"/>
      <c r="I4" s="65"/>
      <c r="J4" s="65"/>
      <c r="K4" s="65"/>
      <c r="L4" s="64"/>
      <c r="M4" s="50"/>
      <c r="N4" s="50"/>
      <c r="O4" s="50"/>
      <c r="P4" s="64"/>
      <c r="R4" s="31"/>
      <c r="S4" s="31"/>
      <c r="T4" s="8"/>
    </row>
    <row r="5" spans="1:23" s="1" customFormat="1" x14ac:dyDescent="0.25">
      <c r="A5" s="66">
        <v>0</v>
      </c>
      <c r="B5" s="66">
        <v>2019</v>
      </c>
      <c r="C5" s="43">
        <v>0</v>
      </c>
      <c r="D5" s="66"/>
      <c r="E5" s="44"/>
      <c r="F5" s="44"/>
      <c r="G5" s="67"/>
      <c r="H5" s="43"/>
      <c r="I5" s="68"/>
      <c r="J5" s="68"/>
      <c r="K5" s="68"/>
      <c r="L5" s="67"/>
      <c r="M5" s="46"/>
      <c r="N5" s="46"/>
      <c r="O5" s="46"/>
      <c r="P5" s="67"/>
      <c r="R5" s="31"/>
      <c r="S5" s="31"/>
      <c r="T5" s="8"/>
    </row>
    <row r="6" spans="1:23" s="1" customFormat="1" x14ac:dyDescent="0.25">
      <c r="A6" s="53">
        <v>0</v>
      </c>
      <c r="B6" s="53">
        <v>2020</v>
      </c>
      <c r="C6" s="47">
        <v>0</v>
      </c>
      <c r="D6" s="53"/>
      <c r="E6" s="48"/>
      <c r="F6" s="48"/>
      <c r="G6" s="64"/>
      <c r="H6" s="47"/>
      <c r="I6" s="65"/>
      <c r="J6" s="65"/>
      <c r="K6" s="65"/>
      <c r="L6" s="64"/>
      <c r="M6" s="50"/>
      <c r="N6" s="50"/>
      <c r="O6" s="50"/>
      <c r="P6" s="64"/>
      <c r="R6" s="31"/>
      <c r="S6" s="31"/>
      <c r="T6" s="8"/>
    </row>
    <row r="7" spans="1:23" x14ac:dyDescent="0.25">
      <c r="A7" s="66">
        <v>0</v>
      </c>
      <c r="B7" s="66">
        <v>2021</v>
      </c>
      <c r="C7" s="43">
        <v>0</v>
      </c>
      <c r="D7" s="66"/>
      <c r="E7" s="44"/>
      <c r="F7" s="44"/>
      <c r="G7" s="67"/>
      <c r="H7" s="43"/>
      <c r="I7" s="68"/>
      <c r="J7" s="68"/>
      <c r="K7" s="68"/>
      <c r="L7" s="67"/>
      <c r="M7" s="46"/>
      <c r="N7" s="46"/>
      <c r="O7" s="46"/>
      <c r="P7" s="67"/>
      <c r="R7" s="31"/>
      <c r="S7"/>
      <c r="U7" s="1"/>
      <c r="W7" s="1"/>
    </row>
    <row r="8" spans="1:23" x14ac:dyDescent="0.25">
      <c r="A8" s="53">
        <v>0</v>
      </c>
      <c r="B8" s="53">
        <v>2022</v>
      </c>
      <c r="C8" s="47">
        <v>0</v>
      </c>
      <c r="D8" s="53"/>
      <c r="E8" s="48"/>
      <c r="F8" s="48"/>
      <c r="G8" s="64"/>
      <c r="H8" s="47"/>
      <c r="I8" s="65"/>
      <c r="J8" s="65"/>
      <c r="K8" s="65"/>
      <c r="L8" s="64"/>
      <c r="M8" s="50"/>
      <c r="N8" s="50"/>
      <c r="O8" s="50"/>
      <c r="P8" s="64"/>
      <c r="R8" s="31"/>
      <c r="S8"/>
      <c r="U8" s="1"/>
      <c r="W8" s="1"/>
    </row>
    <row r="9" spans="1:23" x14ac:dyDescent="0.25">
      <c r="A9" s="66">
        <v>1</v>
      </c>
      <c r="B9" s="66">
        <v>2023</v>
      </c>
      <c r="C9" s="43">
        <f>140000/5*0.1</f>
        <v>2800</v>
      </c>
      <c r="D9" s="46">
        <v>4</v>
      </c>
      <c r="E9" s="43">
        <f>D9*C9</f>
        <v>11200</v>
      </c>
      <c r="F9" s="44">
        <f>E9/20</f>
        <v>560</v>
      </c>
      <c r="G9" s="52">
        <f>E9*0.39</f>
        <v>4368</v>
      </c>
      <c r="H9" s="43">
        <v>2.34</v>
      </c>
      <c r="I9" s="68">
        <v>42</v>
      </c>
      <c r="J9" s="68">
        <f>I9*(242.839/207.342)</f>
        <v>49.190410047168442</v>
      </c>
      <c r="K9" s="68">
        <f t="shared" ref="K9:K28" si="0">J9/(1.03^A9)</f>
        <v>47.757679657445088</v>
      </c>
      <c r="L9" s="67">
        <f>H9*K9</f>
        <v>111.7529703984215</v>
      </c>
      <c r="M9" s="86">
        <f t="shared" ref="M9:M28" si="1">C9/1000000</f>
        <v>2.8E-3</v>
      </c>
      <c r="N9" s="46">
        <v>1</v>
      </c>
      <c r="O9" s="86">
        <f>M9*N9</f>
        <v>2.8E-3</v>
      </c>
      <c r="P9" s="67">
        <f>O9*'Travel-Safety'!$C$67</f>
        <v>194.38113990610327</v>
      </c>
      <c r="R9" s="31"/>
      <c r="S9"/>
      <c r="U9" s="1"/>
      <c r="W9" s="1"/>
    </row>
    <row r="10" spans="1:23" x14ac:dyDescent="0.25">
      <c r="A10" s="53">
        <v>2</v>
      </c>
      <c r="B10" s="53">
        <v>2024</v>
      </c>
      <c r="C10" s="47">
        <f t="shared" ref="C10:C28" si="2">140000/5*0.1</f>
        <v>2800</v>
      </c>
      <c r="D10" s="50">
        <v>4</v>
      </c>
      <c r="E10" s="47">
        <f t="shared" ref="E10:E28" si="3">D10*C10</f>
        <v>11200</v>
      </c>
      <c r="F10" s="48">
        <f t="shared" ref="F10:F27" si="4">E10/20</f>
        <v>560</v>
      </c>
      <c r="G10" s="51">
        <f t="shared" ref="G10:G28" si="5">E10*0.39</f>
        <v>4368</v>
      </c>
      <c r="H10" s="47">
        <v>2.34</v>
      </c>
      <c r="I10" s="65">
        <v>42</v>
      </c>
      <c r="J10" s="65">
        <f t="shared" ref="J10:J28" si="6">I10*(242.839/207.342)</f>
        <v>49.190410047168442</v>
      </c>
      <c r="K10" s="65">
        <f t="shared" si="0"/>
        <v>46.366679279072905</v>
      </c>
      <c r="L10" s="64">
        <f>H10*K10</f>
        <v>108.49802951303059</v>
      </c>
      <c r="M10" s="87">
        <f t="shared" si="1"/>
        <v>2.8E-3</v>
      </c>
      <c r="N10" s="50">
        <v>1</v>
      </c>
      <c r="O10" s="87">
        <f>M10*N10</f>
        <v>2.8E-3</v>
      </c>
      <c r="P10" s="64">
        <f>O10*'Travel-Safety'!$C$67</f>
        <v>194.38113990610327</v>
      </c>
      <c r="R10" s="31"/>
      <c r="S10"/>
      <c r="U10" s="1"/>
      <c r="W10" s="1"/>
    </row>
    <row r="11" spans="1:23" x14ac:dyDescent="0.25">
      <c r="A11" s="66">
        <v>3</v>
      </c>
      <c r="B11" s="66">
        <v>2025</v>
      </c>
      <c r="C11" s="43">
        <f t="shared" si="2"/>
        <v>2800</v>
      </c>
      <c r="D11" s="46">
        <v>4</v>
      </c>
      <c r="E11" s="43">
        <f t="shared" si="3"/>
        <v>11200</v>
      </c>
      <c r="F11" s="44">
        <f t="shared" si="4"/>
        <v>560</v>
      </c>
      <c r="G11" s="52">
        <f t="shared" si="5"/>
        <v>4368</v>
      </c>
      <c r="H11" s="43">
        <v>2.34</v>
      </c>
      <c r="I11" s="68">
        <v>42</v>
      </c>
      <c r="J11" s="68">
        <f t="shared" si="6"/>
        <v>49.190410047168442</v>
      </c>
      <c r="K11" s="68">
        <f t="shared" si="0"/>
        <v>45.016193474828057</v>
      </c>
      <c r="L11" s="67">
        <f t="shared" ref="L11:L28" si="7">H11*K11</f>
        <v>105.33789273109765</v>
      </c>
      <c r="M11" s="86">
        <f t="shared" si="1"/>
        <v>2.8E-3</v>
      </c>
      <c r="N11" s="46">
        <v>1</v>
      </c>
      <c r="O11" s="86">
        <f t="shared" ref="O11:O28" si="8">M11*N11</f>
        <v>2.8E-3</v>
      </c>
      <c r="P11" s="67">
        <f>O11*'Travel-Safety'!$C$67</f>
        <v>194.38113990610327</v>
      </c>
      <c r="R11" s="31"/>
      <c r="S11"/>
      <c r="U11" s="1"/>
      <c r="W11" s="1"/>
    </row>
    <row r="12" spans="1:23" x14ac:dyDescent="0.25">
      <c r="A12" s="53">
        <v>4</v>
      </c>
      <c r="B12" s="53">
        <v>2026</v>
      </c>
      <c r="C12" s="47">
        <f t="shared" si="2"/>
        <v>2800</v>
      </c>
      <c r="D12" s="50">
        <v>4</v>
      </c>
      <c r="E12" s="47">
        <f t="shared" si="3"/>
        <v>11200</v>
      </c>
      <c r="F12" s="48">
        <f t="shared" si="4"/>
        <v>560</v>
      </c>
      <c r="G12" s="51">
        <f t="shared" si="5"/>
        <v>4368</v>
      </c>
      <c r="H12" s="47">
        <v>2.34</v>
      </c>
      <c r="I12" s="65">
        <v>42</v>
      </c>
      <c r="J12" s="65">
        <f t="shared" si="6"/>
        <v>49.190410047168442</v>
      </c>
      <c r="K12" s="65">
        <f t="shared" si="0"/>
        <v>43.705042208570937</v>
      </c>
      <c r="L12" s="64">
        <f t="shared" si="7"/>
        <v>102.26979876805599</v>
      </c>
      <c r="M12" s="87">
        <f t="shared" si="1"/>
        <v>2.8E-3</v>
      </c>
      <c r="N12" s="50">
        <v>1</v>
      </c>
      <c r="O12" s="87">
        <f t="shared" si="8"/>
        <v>2.8E-3</v>
      </c>
      <c r="P12" s="64">
        <f>O12*'Travel-Safety'!$C$67</f>
        <v>194.38113990610327</v>
      </c>
      <c r="R12" s="31"/>
      <c r="S12"/>
      <c r="U12" s="1"/>
      <c r="W12" s="1"/>
    </row>
    <row r="13" spans="1:23" x14ac:dyDescent="0.25">
      <c r="A13" s="66">
        <v>5</v>
      </c>
      <c r="B13" s="66">
        <v>2027</v>
      </c>
      <c r="C13" s="43">
        <f t="shared" si="2"/>
        <v>2800</v>
      </c>
      <c r="D13" s="46">
        <v>4</v>
      </c>
      <c r="E13" s="43">
        <f t="shared" si="3"/>
        <v>11200</v>
      </c>
      <c r="F13" s="44">
        <f t="shared" si="4"/>
        <v>560</v>
      </c>
      <c r="G13" s="52">
        <f t="shared" si="5"/>
        <v>4368</v>
      </c>
      <c r="H13" s="43">
        <v>2.34</v>
      </c>
      <c r="I13" s="68">
        <v>46</v>
      </c>
      <c r="J13" s="68">
        <f t="shared" si="6"/>
        <v>53.875211004041631</v>
      </c>
      <c r="K13" s="68">
        <f t="shared" si="0"/>
        <v>46.473230272636691</v>
      </c>
      <c r="L13" s="67">
        <f t="shared" si="7"/>
        <v>108.74735883796986</v>
      </c>
      <c r="M13" s="86">
        <f t="shared" si="1"/>
        <v>2.8E-3</v>
      </c>
      <c r="N13" s="46">
        <v>1</v>
      </c>
      <c r="O13" s="86">
        <f t="shared" si="8"/>
        <v>2.8E-3</v>
      </c>
      <c r="P13" s="67">
        <f>O13*'Travel-Safety'!$C$67</f>
        <v>194.38113990610327</v>
      </c>
      <c r="R13" s="31"/>
      <c r="S13"/>
      <c r="U13" s="1"/>
      <c r="W13" s="1"/>
    </row>
    <row r="14" spans="1:23" x14ac:dyDescent="0.25">
      <c r="A14" s="53">
        <v>6</v>
      </c>
      <c r="B14" s="53">
        <v>2028</v>
      </c>
      <c r="C14" s="47">
        <f t="shared" si="2"/>
        <v>2800</v>
      </c>
      <c r="D14" s="50">
        <v>4</v>
      </c>
      <c r="E14" s="47">
        <f t="shared" si="3"/>
        <v>11200</v>
      </c>
      <c r="F14" s="48">
        <f t="shared" si="4"/>
        <v>560</v>
      </c>
      <c r="G14" s="51">
        <f t="shared" si="5"/>
        <v>4368</v>
      </c>
      <c r="H14" s="47">
        <v>2.34</v>
      </c>
      <c r="I14" s="65">
        <v>46</v>
      </c>
      <c r="J14" s="65">
        <f t="shared" si="6"/>
        <v>53.875211004041631</v>
      </c>
      <c r="K14" s="65">
        <f t="shared" si="0"/>
        <v>45.119641041394843</v>
      </c>
      <c r="L14" s="64">
        <f t="shared" si="7"/>
        <v>105.57996003686392</v>
      </c>
      <c r="M14" s="87">
        <f t="shared" si="1"/>
        <v>2.8E-3</v>
      </c>
      <c r="N14" s="50">
        <v>1</v>
      </c>
      <c r="O14" s="87">
        <f t="shared" si="8"/>
        <v>2.8E-3</v>
      </c>
      <c r="P14" s="64">
        <f>O14*'Travel-Safety'!$C$67</f>
        <v>194.38113990610327</v>
      </c>
      <c r="R14" s="31"/>
      <c r="S14"/>
      <c r="U14" s="1"/>
      <c r="W14" s="1"/>
    </row>
    <row r="15" spans="1:23" x14ac:dyDescent="0.25">
      <c r="A15" s="66">
        <v>7</v>
      </c>
      <c r="B15" s="66">
        <v>2029</v>
      </c>
      <c r="C15" s="43">
        <f t="shared" si="2"/>
        <v>2800</v>
      </c>
      <c r="D15" s="46">
        <v>4</v>
      </c>
      <c r="E15" s="43">
        <f t="shared" si="3"/>
        <v>11200</v>
      </c>
      <c r="F15" s="44">
        <f t="shared" si="4"/>
        <v>560</v>
      </c>
      <c r="G15" s="52">
        <f t="shared" si="5"/>
        <v>4368</v>
      </c>
      <c r="H15" s="43">
        <v>2.34</v>
      </c>
      <c r="I15" s="68">
        <v>46</v>
      </c>
      <c r="J15" s="68">
        <f t="shared" si="6"/>
        <v>53.875211004041631</v>
      </c>
      <c r="K15" s="68">
        <f t="shared" si="0"/>
        <v>43.805476739218292</v>
      </c>
      <c r="L15" s="67">
        <f t="shared" si="7"/>
        <v>102.5048155697708</v>
      </c>
      <c r="M15" s="86">
        <f t="shared" si="1"/>
        <v>2.8E-3</v>
      </c>
      <c r="N15" s="46">
        <v>1</v>
      </c>
      <c r="O15" s="86">
        <f t="shared" si="8"/>
        <v>2.8E-3</v>
      </c>
      <c r="P15" s="67">
        <f>O15*'Travel-Safety'!$C$67</f>
        <v>194.38113990610327</v>
      </c>
      <c r="R15" s="31"/>
      <c r="S15"/>
      <c r="U15" s="1"/>
      <c r="W15" s="1"/>
    </row>
    <row r="16" spans="1:23" x14ac:dyDescent="0.25">
      <c r="A16" s="53">
        <v>8</v>
      </c>
      <c r="B16" s="53">
        <v>2030</v>
      </c>
      <c r="C16" s="47">
        <f t="shared" si="2"/>
        <v>2800</v>
      </c>
      <c r="D16" s="50">
        <v>4</v>
      </c>
      <c r="E16" s="47">
        <f t="shared" si="3"/>
        <v>11200</v>
      </c>
      <c r="F16" s="48">
        <f t="shared" si="4"/>
        <v>560</v>
      </c>
      <c r="G16" s="51">
        <f t="shared" si="5"/>
        <v>4368</v>
      </c>
      <c r="H16" s="47">
        <v>2.34</v>
      </c>
      <c r="I16" s="65">
        <v>46</v>
      </c>
      <c r="J16" s="65">
        <f t="shared" si="6"/>
        <v>53.875211004041631</v>
      </c>
      <c r="K16" s="65">
        <f t="shared" si="0"/>
        <v>42.529589067202231</v>
      </c>
      <c r="L16" s="64">
        <f t="shared" si="7"/>
        <v>99.51923841725322</v>
      </c>
      <c r="M16" s="87">
        <f t="shared" si="1"/>
        <v>2.8E-3</v>
      </c>
      <c r="N16" s="50">
        <v>1</v>
      </c>
      <c r="O16" s="87">
        <f t="shared" si="8"/>
        <v>2.8E-3</v>
      </c>
      <c r="P16" s="64">
        <f>O16*'Travel-Safety'!$C$67</f>
        <v>194.38113990610327</v>
      </c>
      <c r="R16" s="31"/>
      <c r="S16"/>
      <c r="U16" s="1"/>
      <c r="W16" s="1"/>
    </row>
    <row r="17" spans="1:23" x14ac:dyDescent="0.25">
      <c r="A17" s="66">
        <v>9</v>
      </c>
      <c r="B17" s="66">
        <v>2031</v>
      </c>
      <c r="C17" s="43">
        <f t="shared" si="2"/>
        <v>2800</v>
      </c>
      <c r="D17" s="46">
        <v>4</v>
      </c>
      <c r="E17" s="43">
        <f t="shared" si="3"/>
        <v>11200</v>
      </c>
      <c r="F17" s="44">
        <f t="shared" si="4"/>
        <v>560</v>
      </c>
      <c r="G17" s="52">
        <f t="shared" si="5"/>
        <v>4368</v>
      </c>
      <c r="H17" s="43">
        <v>2.34</v>
      </c>
      <c r="I17" s="68">
        <v>46</v>
      </c>
      <c r="J17" s="68">
        <f t="shared" si="6"/>
        <v>53.875211004041631</v>
      </c>
      <c r="K17" s="68">
        <f t="shared" si="0"/>
        <v>41.290863172041</v>
      </c>
      <c r="L17" s="67">
        <f t="shared" si="7"/>
        <v>96.620619822575932</v>
      </c>
      <c r="M17" s="86">
        <f t="shared" si="1"/>
        <v>2.8E-3</v>
      </c>
      <c r="N17" s="46">
        <v>1</v>
      </c>
      <c r="O17" s="86">
        <f t="shared" si="8"/>
        <v>2.8E-3</v>
      </c>
      <c r="P17" s="67">
        <f>O17*'Travel-Safety'!$C$67</f>
        <v>194.38113990610327</v>
      </c>
      <c r="R17" s="31"/>
      <c r="S17"/>
      <c r="U17" s="1"/>
      <c r="W17" s="1"/>
    </row>
    <row r="18" spans="1:23" x14ac:dyDescent="0.25">
      <c r="A18" s="53">
        <v>10</v>
      </c>
      <c r="B18" s="53">
        <v>2032</v>
      </c>
      <c r="C18" s="47">
        <f t="shared" si="2"/>
        <v>2800</v>
      </c>
      <c r="D18" s="50">
        <v>4</v>
      </c>
      <c r="E18" s="47">
        <f t="shared" si="3"/>
        <v>11200</v>
      </c>
      <c r="F18" s="48">
        <f t="shared" si="4"/>
        <v>560</v>
      </c>
      <c r="G18" s="51">
        <f t="shared" si="5"/>
        <v>4368</v>
      </c>
      <c r="H18" s="47">
        <v>2.34</v>
      </c>
      <c r="I18" s="65">
        <v>50</v>
      </c>
      <c r="J18" s="65">
        <f t="shared" si="6"/>
        <v>58.560011960914814</v>
      </c>
      <c r="K18" s="65">
        <f t="shared" si="0"/>
        <v>43.574148556396153</v>
      </c>
      <c r="L18" s="64">
        <f t="shared" si="7"/>
        <v>101.963507621967</v>
      </c>
      <c r="M18" s="87">
        <f t="shared" si="1"/>
        <v>2.8E-3</v>
      </c>
      <c r="N18" s="50">
        <v>1</v>
      </c>
      <c r="O18" s="87">
        <f t="shared" si="8"/>
        <v>2.8E-3</v>
      </c>
      <c r="P18" s="64">
        <f>O18*'Travel-Safety'!$C$67</f>
        <v>194.38113990610327</v>
      </c>
      <c r="R18" s="31"/>
      <c r="S18"/>
      <c r="U18" s="1"/>
      <c r="W18" s="1"/>
    </row>
    <row r="19" spans="1:23" x14ac:dyDescent="0.25">
      <c r="A19" s="66">
        <v>11</v>
      </c>
      <c r="B19" s="66">
        <v>2033</v>
      </c>
      <c r="C19" s="43">
        <f t="shared" si="2"/>
        <v>2800</v>
      </c>
      <c r="D19" s="46">
        <v>4</v>
      </c>
      <c r="E19" s="43">
        <f t="shared" si="3"/>
        <v>11200</v>
      </c>
      <c r="F19" s="44">
        <f t="shared" si="4"/>
        <v>560</v>
      </c>
      <c r="G19" s="52">
        <f t="shared" si="5"/>
        <v>4368</v>
      </c>
      <c r="H19" s="43">
        <v>2.34</v>
      </c>
      <c r="I19" s="68">
        <v>50</v>
      </c>
      <c r="J19" s="68">
        <f t="shared" si="6"/>
        <v>58.560011960914814</v>
      </c>
      <c r="K19" s="68">
        <f t="shared" si="0"/>
        <v>42.304998598442872</v>
      </c>
      <c r="L19" s="67">
        <f>H19*K19</f>
        <v>98.993696720356311</v>
      </c>
      <c r="M19" s="86">
        <f t="shared" si="1"/>
        <v>2.8E-3</v>
      </c>
      <c r="N19" s="46">
        <v>1</v>
      </c>
      <c r="O19" s="86">
        <f t="shared" si="8"/>
        <v>2.8E-3</v>
      </c>
      <c r="P19" s="67">
        <f>O19*'Travel-Safety'!$C$67</f>
        <v>194.38113990610327</v>
      </c>
      <c r="R19" s="31"/>
      <c r="S19"/>
      <c r="U19" s="1"/>
      <c r="W19" s="1"/>
    </row>
    <row r="20" spans="1:23" x14ac:dyDescent="0.25">
      <c r="A20" s="53">
        <v>12</v>
      </c>
      <c r="B20" s="53">
        <v>2034</v>
      </c>
      <c r="C20" s="47">
        <f t="shared" si="2"/>
        <v>2800</v>
      </c>
      <c r="D20" s="50">
        <v>4</v>
      </c>
      <c r="E20" s="47">
        <f t="shared" si="3"/>
        <v>11200</v>
      </c>
      <c r="F20" s="48">
        <f t="shared" si="4"/>
        <v>560</v>
      </c>
      <c r="G20" s="51">
        <f t="shared" si="5"/>
        <v>4368</v>
      </c>
      <c r="H20" s="47">
        <v>2.34</v>
      </c>
      <c r="I20" s="65">
        <v>50</v>
      </c>
      <c r="J20" s="65">
        <f t="shared" si="6"/>
        <v>58.560011960914814</v>
      </c>
      <c r="K20" s="65">
        <f t="shared" si="0"/>
        <v>41.072814173245511</v>
      </c>
      <c r="L20" s="64">
        <f t="shared" si="7"/>
        <v>96.11038516539449</v>
      </c>
      <c r="M20" s="87">
        <f t="shared" si="1"/>
        <v>2.8E-3</v>
      </c>
      <c r="N20" s="50">
        <v>1</v>
      </c>
      <c r="O20" s="87">
        <f t="shared" si="8"/>
        <v>2.8E-3</v>
      </c>
      <c r="P20" s="64">
        <f>O20*'Travel-Safety'!$C$67</f>
        <v>194.38113990610327</v>
      </c>
      <c r="U20" s="1"/>
      <c r="W20" s="1"/>
    </row>
    <row r="21" spans="1:23" x14ac:dyDescent="0.25">
      <c r="A21" s="66">
        <v>13</v>
      </c>
      <c r="B21" s="66">
        <v>2035</v>
      </c>
      <c r="C21" s="43">
        <f t="shared" si="2"/>
        <v>2800</v>
      </c>
      <c r="D21" s="46">
        <v>4</v>
      </c>
      <c r="E21" s="43">
        <f t="shared" si="3"/>
        <v>11200</v>
      </c>
      <c r="F21" s="44">
        <f t="shared" si="4"/>
        <v>560</v>
      </c>
      <c r="G21" s="52">
        <f t="shared" si="5"/>
        <v>4368</v>
      </c>
      <c r="H21" s="43">
        <v>2.34</v>
      </c>
      <c r="I21" s="68">
        <v>50</v>
      </c>
      <c r="J21" s="68">
        <f t="shared" si="6"/>
        <v>58.560011960914814</v>
      </c>
      <c r="K21" s="68">
        <f t="shared" si="0"/>
        <v>39.876518614801469</v>
      </c>
      <c r="L21" s="67">
        <f t="shared" si="7"/>
        <v>93.311053558635436</v>
      </c>
      <c r="M21" s="86">
        <f t="shared" si="1"/>
        <v>2.8E-3</v>
      </c>
      <c r="N21" s="46">
        <v>1</v>
      </c>
      <c r="O21" s="86">
        <f t="shared" si="8"/>
        <v>2.8E-3</v>
      </c>
      <c r="P21" s="67">
        <f>O21*'Travel-Safety'!$C$67</f>
        <v>194.38113990610327</v>
      </c>
      <c r="U21" s="1"/>
      <c r="W21" s="1"/>
    </row>
    <row r="22" spans="1:23" x14ac:dyDescent="0.25">
      <c r="A22" s="53">
        <v>14</v>
      </c>
      <c r="B22" s="53">
        <v>2036</v>
      </c>
      <c r="C22" s="47">
        <f t="shared" si="2"/>
        <v>2800</v>
      </c>
      <c r="D22" s="50">
        <v>4</v>
      </c>
      <c r="E22" s="47">
        <f t="shared" si="3"/>
        <v>11200</v>
      </c>
      <c r="F22" s="48">
        <f t="shared" si="4"/>
        <v>560</v>
      </c>
      <c r="G22" s="51">
        <f t="shared" si="5"/>
        <v>4368</v>
      </c>
      <c r="H22" s="47">
        <v>2.34</v>
      </c>
      <c r="I22" s="65">
        <v>50</v>
      </c>
      <c r="J22" s="65">
        <f t="shared" si="6"/>
        <v>58.560011960914814</v>
      </c>
      <c r="K22" s="65">
        <f t="shared" si="0"/>
        <v>38.7150666163121</v>
      </c>
      <c r="L22" s="64">
        <f t="shared" si="7"/>
        <v>90.593255882170311</v>
      </c>
      <c r="M22" s="87">
        <f t="shared" si="1"/>
        <v>2.8E-3</v>
      </c>
      <c r="N22" s="50">
        <v>1</v>
      </c>
      <c r="O22" s="87">
        <f t="shared" si="8"/>
        <v>2.8E-3</v>
      </c>
      <c r="P22" s="64">
        <f>O22*'Travel-Safety'!$C$67</f>
        <v>194.38113990610327</v>
      </c>
      <c r="U22" s="1"/>
      <c r="W22" s="1"/>
    </row>
    <row r="23" spans="1:23" x14ac:dyDescent="0.25">
      <c r="A23" s="66">
        <v>15</v>
      </c>
      <c r="B23" s="66">
        <v>2037</v>
      </c>
      <c r="C23" s="43">
        <f t="shared" si="2"/>
        <v>2800</v>
      </c>
      <c r="D23" s="46">
        <v>4</v>
      </c>
      <c r="E23" s="43">
        <f t="shared" si="3"/>
        <v>11200</v>
      </c>
      <c r="F23" s="44">
        <f t="shared" si="4"/>
        <v>560</v>
      </c>
      <c r="G23" s="52">
        <f t="shared" si="5"/>
        <v>4368</v>
      </c>
      <c r="H23" s="43">
        <v>2.34</v>
      </c>
      <c r="I23" s="68">
        <v>55</v>
      </c>
      <c r="J23" s="68">
        <f t="shared" si="6"/>
        <v>64.41601315700629</v>
      </c>
      <c r="K23" s="68">
        <f t="shared" si="0"/>
        <v>41.346187648488645</v>
      </c>
      <c r="L23" s="67">
        <f t="shared" si="7"/>
        <v>96.750079097463427</v>
      </c>
      <c r="M23" s="86">
        <f t="shared" si="1"/>
        <v>2.8E-3</v>
      </c>
      <c r="N23" s="46">
        <v>1</v>
      </c>
      <c r="O23" s="86">
        <f t="shared" si="8"/>
        <v>2.8E-3</v>
      </c>
      <c r="P23" s="67">
        <f>O23*'Travel-Safety'!$C$67</f>
        <v>194.38113990610327</v>
      </c>
      <c r="U23" s="1"/>
      <c r="W23" s="1"/>
    </row>
    <row r="24" spans="1:23" x14ac:dyDescent="0.25">
      <c r="A24" s="53">
        <v>16</v>
      </c>
      <c r="B24" s="53">
        <v>2038</v>
      </c>
      <c r="C24" s="47">
        <f t="shared" si="2"/>
        <v>2800</v>
      </c>
      <c r="D24" s="50">
        <v>4</v>
      </c>
      <c r="E24" s="47">
        <f t="shared" si="3"/>
        <v>11200</v>
      </c>
      <c r="F24" s="48">
        <f t="shared" si="4"/>
        <v>560</v>
      </c>
      <c r="G24" s="51">
        <f t="shared" si="5"/>
        <v>4368</v>
      </c>
      <c r="H24" s="47">
        <v>2.34</v>
      </c>
      <c r="I24" s="65">
        <v>55</v>
      </c>
      <c r="J24" s="65">
        <f t="shared" si="6"/>
        <v>64.41601315700629</v>
      </c>
      <c r="K24" s="65">
        <f t="shared" si="0"/>
        <v>40.141929755814225</v>
      </c>
      <c r="L24" s="64">
        <f t="shared" si="7"/>
        <v>93.932115628605274</v>
      </c>
      <c r="M24" s="87">
        <f t="shared" si="1"/>
        <v>2.8E-3</v>
      </c>
      <c r="N24" s="50">
        <v>1</v>
      </c>
      <c r="O24" s="87">
        <f t="shared" si="8"/>
        <v>2.8E-3</v>
      </c>
      <c r="P24" s="64">
        <f>O24*'Travel-Safety'!$C$67</f>
        <v>194.38113990610327</v>
      </c>
      <c r="U24" s="1"/>
      <c r="W24" s="1"/>
    </row>
    <row r="25" spans="1:23" x14ac:dyDescent="0.25">
      <c r="A25" s="66">
        <v>17</v>
      </c>
      <c r="B25" s="66">
        <v>2039</v>
      </c>
      <c r="C25" s="43">
        <f t="shared" si="2"/>
        <v>2800</v>
      </c>
      <c r="D25" s="46">
        <v>4</v>
      </c>
      <c r="E25" s="43">
        <f t="shared" si="3"/>
        <v>11200</v>
      </c>
      <c r="F25" s="44">
        <f t="shared" si="4"/>
        <v>560</v>
      </c>
      <c r="G25" s="52">
        <f t="shared" si="5"/>
        <v>4368</v>
      </c>
      <c r="H25" s="43">
        <v>2.34</v>
      </c>
      <c r="I25" s="68">
        <v>55</v>
      </c>
      <c r="J25" s="68">
        <f t="shared" si="6"/>
        <v>64.41601315700629</v>
      </c>
      <c r="K25" s="68">
        <f t="shared" si="0"/>
        <v>38.972747335741964</v>
      </c>
      <c r="L25" s="67">
        <f t="shared" si="7"/>
        <v>91.196228765636192</v>
      </c>
      <c r="M25" s="86">
        <f t="shared" si="1"/>
        <v>2.8E-3</v>
      </c>
      <c r="N25" s="46">
        <v>1</v>
      </c>
      <c r="O25" s="86">
        <f t="shared" si="8"/>
        <v>2.8E-3</v>
      </c>
      <c r="P25" s="67">
        <f>O25*'Travel-Safety'!$C$67</f>
        <v>194.38113990610327</v>
      </c>
      <c r="U25" s="1"/>
      <c r="W25" s="1"/>
    </row>
    <row r="26" spans="1:23" x14ac:dyDescent="0.25">
      <c r="A26" s="53">
        <v>18</v>
      </c>
      <c r="B26" s="53">
        <v>2040</v>
      </c>
      <c r="C26" s="47">
        <f t="shared" si="2"/>
        <v>2800</v>
      </c>
      <c r="D26" s="50">
        <v>4</v>
      </c>
      <c r="E26" s="47">
        <f t="shared" si="3"/>
        <v>11200</v>
      </c>
      <c r="F26" s="48">
        <f t="shared" si="4"/>
        <v>560</v>
      </c>
      <c r="G26" s="51">
        <f t="shared" si="5"/>
        <v>4368</v>
      </c>
      <c r="H26" s="47">
        <v>2.34</v>
      </c>
      <c r="I26" s="65">
        <v>55</v>
      </c>
      <c r="J26" s="65">
        <f t="shared" si="6"/>
        <v>64.41601315700629</v>
      </c>
      <c r="K26" s="65">
        <f t="shared" si="0"/>
        <v>37.837618772565015</v>
      </c>
      <c r="L26" s="64">
        <f t="shared" si="7"/>
        <v>88.540027927802129</v>
      </c>
      <c r="M26" s="87">
        <f t="shared" si="1"/>
        <v>2.8E-3</v>
      </c>
      <c r="N26" s="50">
        <v>1</v>
      </c>
      <c r="O26" s="87">
        <f t="shared" si="8"/>
        <v>2.8E-3</v>
      </c>
      <c r="P26" s="64">
        <f>O26*'Travel-Safety'!$C$67</f>
        <v>194.38113990610327</v>
      </c>
      <c r="U26" s="1"/>
      <c r="W26" s="1"/>
    </row>
    <row r="27" spans="1:23" x14ac:dyDescent="0.25">
      <c r="A27" s="66">
        <v>19</v>
      </c>
      <c r="B27" s="66">
        <v>2041</v>
      </c>
      <c r="C27" s="43">
        <f t="shared" si="2"/>
        <v>2800</v>
      </c>
      <c r="D27" s="46">
        <v>4</v>
      </c>
      <c r="E27" s="43">
        <f t="shared" si="3"/>
        <v>11200</v>
      </c>
      <c r="F27" s="44">
        <f t="shared" si="4"/>
        <v>560</v>
      </c>
      <c r="G27" s="52">
        <f t="shared" si="5"/>
        <v>4368</v>
      </c>
      <c r="H27" s="43">
        <v>2.34</v>
      </c>
      <c r="I27" s="68">
        <v>55</v>
      </c>
      <c r="J27" s="68">
        <f t="shared" si="6"/>
        <v>64.41601315700629</v>
      </c>
      <c r="K27" s="68">
        <f t="shared" si="0"/>
        <v>36.735552206373804</v>
      </c>
      <c r="L27" s="67">
        <f t="shared" si="7"/>
        <v>85.961192162914699</v>
      </c>
      <c r="M27" s="86">
        <f t="shared" si="1"/>
        <v>2.8E-3</v>
      </c>
      <c r="N27" s="46">
        <v>1</v>
      </c>
      <c r="O27" s="86">
        <f t="shared" si="8"/>
        <v>2.8E-3</v>
      </c>
      <c r="P27" s="67">
        <f>O27*'Travel-Safety'!$C$67</f>
        <v>194.38113990610327</v>
      </c>
      <c r="R27" s="31"/>
      <c r="S27"/>
      <c r="U27" s="1"/>
      <c r="W27" s="1"/>
    </row>
    <row r="28" spans="1:23" x14ac:dyDescent="0.25">
      <c r="A28" s="53">
        <v>20</v>
      </c>
      <c r="B28" s="53">
        <v>2042</v>
      </c>
      <c r="C28" s="47">
        <f t="shared" si="2"/>
        <v>2800</v>
      </c>
      <c r="D28" s="50">
        <v>4</v>
      </c>
      <c r="E28" s="47">
        <f t="shared" si="3"/>
        <v>11200</v>
      </c>
      <c r="F28" s="48">
        <f>E28/20</f>
        <v>560</v>
      </c>
      <c r="G28" s="51">
        <f t="shared" si="5"/>
        <v>4368</v>
      </c>
      <c r="H28" s="47">
        <v>2.34</v>
      </c>
      <c r="I28" s="65">
        <v>60</v>
      </c>
      <c r="J28" s="65">
        <f t="shared" si="6"/>
        <v>70.272014353097774</v>
      </c>
      <c r="K28" s="65">
        <f t="shared" si="0"/>
        <v>38.907910545144368</v>
      </c>
      <c r="L28" s="64">
        <f t="shared" si="7"/>
        <v>91.04451067563781</v>
      </c>
      <c r="M28" s="87">
        <f t="shared" si="1"/>
        <v>2.8E-3</v>
      </c>
      <c r="N28" s="50">
        <v>1</v>
      </c>
      <c r="O28" s="87">
        <f t="shared" si="8"/>
        <v>2.8E-3</v>
      </c>
      <c r="P28" s="64">
        <f>O28*'Travel-Safety'!$C$67</f>
        <v>194.38113990610327</v>
      </c>
      <c r="R28" s="31"/>
      <c r="S28"/>
      <c r="U28" s="1"/>
      <c r="W28" s="1"/>
    </row>
    <row r="29" spans="1:23" x14ac:dyDescent="0.25">
      <c r="A29" s="106"/>
      <c r="B29" s="106"/>
      <c r="C29" s="115"/>
      <c r="D29" s="115"/>
      <c r="E29" s="115"/>
      <c r="F29" s="115"/>
      <c r="G29" s="116"/>
      <c r="H29" s="116"/>
      <c r="I29" s="116"/>
      <c r="J29" s="116"/>
      <c r="K29" s="115"/>
      <c r="L29" s="116"/>
      <c r="M29" s="106"/>
      <c r="N29" s="106"/>
      <c r="O29" s="115"/>
      <c r="P29" s="116"/>
      <c r="R29"/>
      <c r="S29"/>
    </row>
    <row r="30" spans="1:23" ht="15.75" thickBot="1" x14ac:dyDescent="0.3">
      <c r="A30" s="91"/>
      <c r="B30" s="91"/>
      <c r="C30" s="111"/>
      <c r="D30" s="111"/>
      <c r="E30" s="112"/>
      <c r="F30" s="113">
        <f>SUM(F4:F29)</f>
        <v>11200</v>
      </c>
      <c r="G30" s="114">
        <f>SUM(G4:G29)</f>
        <v>87360</v>
      </c>
      <c r="H30" s="113">
        <f>SUM(H4:H29)</f>
        <v>46.800000000000011</v>
      </c>
      <c r="I30" s="111"/>
      <c r="J30" s="111"/>
      <c r="K30" s="111"/>
      <c r="L30" s="114">
        <f>SUM(L4:L29)</f>
        <v>1969.2267373016225</v>
      </c>
      <c r="M30" s="91"/>
      <c r="N30" s="91"/>
      <c r="O30" s="111"/>
      <c r="P30" s="114">
        <f>SUM(P4:P29)</f>
        <v>3887.6227981220654</v>
      </c>
      <c r="R30"/>
      <c r="S30"/>
    </row>
    <row r="32" spans="1:23" x14ac:dyDescent="0.25">
      <c r="K32" t="s">
        <v>90</v>
      </c>
      <c r="N32" s="1"/>
      <c r="O32" s="1"/>
      <c r="R32"/>
      <c r="S32"/>
    </row>
    <row r="33" spans="1:28" x14ac:dyDescent="0.25">
      <c r="K33" t="s">
        <v>91</v>
      </c>
      <c r="N33" s="1"/>
      <c r="O33" s="1"/>
      <c r="R33"/>
      <c r="S33"/>
    </row>
    <row r="34" spans="1:28" x14ac:dyDescent="0.25">
      <c r="A34" t="s">
        <v>53</v>
      </c>
      <c r="B34" s="20"/>
      <c r="K34" t="s">
        <v>92</v>
      </c>
      <c r="Q34" s="30"/>
    </row>
    <row r="35" spans="1:28" x14ac:dyDescent="0.25">
      <c r="A35" s="20" t="s">
        <v>52</v>
      </c>
    </row>
    <row r="36" spans="1:28" x14ac:dyDescent="0.25">
      <c r="A36" s="20" t="s">
        <v>215</v>
      </c>
    </row>
    <row r="37" spans="1:28" x14ac:dyDescent="0.25">
      <c r="A37" s="42" t="s">
        <v>216</v>
      </c>
      <c r="B37" s="29"/>
    </row>
    <row r="38" spans="1:28" x14ac:dyDescent="0.25">
      <c r="A38" s="42" t="s">
        <v>217</v>
      </c>
      <c r="B38" s="29"/>
    </row>
    <row r="39" spans="1:28" x14ac:dyDescent="0.25">
      <c r="A39" s="42" t="s">
        <v>218</v>
      </c>
      <c r="B39" s="29"/>
    </row>
    <row r="40" spans="1:28" x14ac:dyDescent="0.25">
      <c r="A40" s="42" t="s">
        <v>219</v>
      </c>
      <c r="B40" s="29"/>
    </row>
    <row r="41" spans="1:28" x14ac:dyDescent="0.25">
      <c r="A41" s="42" t="s">
        <v>108</v>
      </c>
      <c r="B41" s="29"/>
    </row>
    <row r="42" spans="1:28" x14ac:dyDescent="0.25">
      <c r="A42" s="20" t="s">
        <v>220</v>
      </c>
      <c r="B42" s="29"/>
    </row>
    <row r="43" spans="1:28" s="1" customFormat="1" x14ac:dyDescent="0.25">
      <c r="A43" s="20" t="s">
        <v>221</v>
      </c>
      <c r="B43" s="29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T43"/>
      <c r="U43"/>
      <c r="V43"/>
      <c r="W43"/>
      <c r="X43"/>
      <c r="Y43"/>
      <c r="Z43"/>
      <c r="AA43"/>
      <c r="AB43"/>
    </row>
    <row r="44" spans="1:28" s="1" customFormat="1" x14ac:dyDescent="0.25">
      <c r="A44" s="20" t="s">
        <v>81</v>
      </c>
      <c r="B44" s="29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T44"/>
      <c r="U44"/>
      <c r="V44"/>
      <c r="W44"/>
      <c r="X44"/>
      <c r="Y44"/>
      <c r="Z44"/>
      <c r="AA44"/>
      <c r="AB44"/>
    </row>
    <row r="45" spans="1:28" s="1" customFormat="1" x14ac:dyDescent="0.25">
      <c r="A45" s="42" t="s">
        <v>222</v>
      </c>
      <c r="B45" s="29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T45"/>
      <c r="U45"/>
      <c r="V45"/>
      <c r="W45"/>
      <c r="X45"/>
      <c r="Y45"/>
      <c r="Z45"/>
      <c r="AA45"/>
      <c r="AB45"/>
    </row>
    <row r="46" spans="1:28" s="1" customFormat="1" x14ac:dyDescent="0.25">
      <c r="A46" s="42" t="s">
        <v>223</v>
      </c>
      <c r="B46" s="29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T46"/>
      <c r="U46"/>
      <c r="V46"/>
      <c r="W46"/>
      <c r="X46"/>
      <c r="Y46"/>
      <c r="Z46"/>
      <c r="AA46"/>
      <c r="AB46"/>
    </row>
    <row r="47" spans="1:28" s="1" customFormat="1" x14ac:dyDescent="0.25">
      <c r="A47" s="41" t="s">
        <v>224</v>
      </c>
      <c r="B47" s="29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T47"/>
      <c r="U47"/>
      <c r="V47"/>
      <c r="W47"/>
      <c r="X47"/>
      <c r="Y47"/>
      <c r="Z47"/>
      <c r="AA47"/>
      <c r="AB47"/>
    </row>
    <row r="48" spans="1:28" s="1" customFormat="1" x14ac:dyDescent="0.25">
      <c r="A48" s="41" t="s">
        <v>225</v>
      </c>
      <c r="B48" s="29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T48"/>
      <c r="U48"/>
      <c r="V48"/>
      <c r="W48"/>
      <c r="X48"/>
      <c r="Y48"/>
      <c r="Z48"/>
      <c r="AA48"/>
      <c r="AB48"/>
    </row>
    <row r="49" spans="1:28" s="1" customFormat="1" x14ac:dyDescent="0.25">
      <c r="A49" s="41" t="s">
        <v>226</v>
      </c>
      <c r="B49" s="29"/>
      <c r="C49" s="28"/>
      <c r="D49" s="28"/>
      <c r="E49" s="28"/>
      <c r="F49"/>
      <c r="G49"/>
      <c r="H49"/>
      <c r="I49"/>
      <c r="J49"/>
      <c r="K49"/>
      <c r="L49"/>
      <c r="M49"/>
      <c r="N49"/>
      <c r="O49"/>
      <c r="P49"/>
      <c r="Q49"/>
      <c r="T49"/>
      <c r="U49"/>
      <c r="V49"/>
      <c r="W49"/>
      <c r="X49"/>
      <c r="Y49"/>
      <c r="Z49"/>
      <c r="AA49"/>
      <c r="AB49"/>
    </row>
    <row r="50" spans="1:28" s="1" customFormat="1" x14ac:dyDescent="0.25">
      <c r="A50" s="19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T50"/>
      <c r="U50"/>
      <c r="V50"/>
      <c r="W50"/>
      <c r="X50"/>
      <c r="Y50"/>
      <c r="Z50"/>
      <c r="AA50"/>
      <c r="AB50"/>
    </row>
    <row r="51" spans="1:28" s="1" customFormat="1" x14ac:dyDescent="0.25">
      <c r="A51" s="18" t="s">
        <v>38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T51"/>
      <c r="U51"/>
      <c r="V51"/>
      <c r="W51"/>
      <c r="X51"/>
      <c r="Y51"/>
      <c r="Z51"/>
      <c r="AA51"/>
      <c r="AB51"/>
    </row>
    <row r="52" spans="1:28" s="1" customFormat="1" x14ac:dyDescent="0.25">
      <c r="A52" s="18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T52"/>
      <c r="U52"/>
      <c r="V52"/>
      <c r="W52"/>
      <c r="X52"/>
      <c r="Y52"/>
      <c r="Z52"/>
      <c r="AA52"/>
      <c r="AB52"/>
    </row>
    <row r="53" spans="1:28" s="1" customFormat="1" x14ac:dyDescent="0.25">
      <c r="A53" s="133" t="s">
        <v>212</v>
      </c>
      <c r="B53" s="133"/>
      <c r="C53" s="133"/>
      <c r="D53" s="133"/>
      <c r="E53"/>
      <c r="F53" s="133" t="s">
        <v>213</v>
      </c>
      <c r="G53" s="133"/>
      <c r="H53" s="133"/>
      <c r="I53"/>
      <c r="J53"/>
      <c r="K53"/>
      <c r="L53"/>
      <c r="M53"/>
      <c r="N53"/>
      <c r="O53"/>
      <c r="P53"/>
      <c r="Q53"/>
      <c r="T53"/>
      <c r="U53"/>
      <c r="V53"/>
      <c r="W53"/>
      <c r="X53"/>
      <c r="Y53"/>
      <c r="Z53"/>
      <c r="AA53"/>
      <c r="AB53"/>
    </row>
    <row r="54" spans="1:28" ht="60" x14ac:dyDescent="0.25">
      <c r="A54" s="127" t="s">
        <v>44</v>
      </c>
      <c r="B54" s="127" t="s">
        <v>126</v>
      </c>
      <c r="C54" s="127" t="s">
        <v>145</v>
      </c>
      <c r="D54" s="127" t="s">
        <v>140</v>
      </c>
      <c r="F54" s="127" t="s">
        <v>144</v>
      </c>
      <c r="G54" s="127" t="s">
        <v>146</v>
      </c>
      <c r="H54" s="127" t="s">
        <v>142</v>
      </c>
    </row>
    <row r="55" spans="1:28" x14ac:dyDescent="0.25">
      <c r="A55" s="4">
        <v>1</v>
      </c>
      <c r="B55" s="5">
        <f>L9</f>
        <v>111.7529703984215</v>
      </c>
      <c r="C55" s="5">
        <f t="shared" ref="C55:C74" si="9">P9/(1.03^A55)</f>
        <v>188.71955330689639</v>
      </c>
      <c r="D55" s="5">
        <f t="shared" ref="D55:D74" si="10">G9/(1.03^A55)</f>
        <v>4240.7766990291257</v>
      </c>
      <c r="F55" s="5">
        <f>B55/(1.07/1.03)^A55</f>
        <v>107.57528926203192</v>
      </c>
      <c r="G55" s="5">
        <f>C55/(1.07/1.03)^A55</f>
        <v>181.66461673467597</v>
      </c>
      <c r="H55" s="5">
        <f>D55/(1.07/1.03)^A55</f>
        <v>4082.2429906542052</v>
      </c>
    </row>
    <row r="56" spans="1:28" x14ac:dyDescent="0.25">
      <c r="A56" s="6">
        <v>2</v>
      </c>
      <c r="B56" s="7">
        <f>L10</f>
        <v>108.49802951303059</v>
      </c>
      <c r="C56" s="7">
        <f t="shared" si="9"/>
        <v>183.22286728824892</v>
      </c>
      <c r="D56" s="7">
        <f t="shared" si="10"/>
        <v>4117.2589310962394</v>
      </c>
      <c r="F56" s="7">
        <f t="shared" ref="F56:F74" si="11">B56/(1.07/1.03)^A56</f>
        <v>100.53765351591768</v>
      </c>
      <c r="G56" s="7">
        <f t="shared" ref="G56:G74" si="12">C56/(1.07/1.03)^A56</f>
        <v>169.78001563988408</v>
      </c>
      <c r="H56" s="7">
        <f t="shared" ref="H56:H74" si="13">D56/(1.07/1.03)^A56</f>
        <v>3815.1803650973889</v>
      </c>
    </row>
    <row r="57" spans="1:28" x14ac:dyDescent="0.25">
      <c r="A57" s="4">
        <v>3</v>
      </c>
      <c r="B57" s="5">
        <f t="shared" ref="B57:B74" si="14">L11</f>
        <v>105.33789273109765</v>
      </c>
      <c r="C57" s="5">
        <f t="shared" si="9"/>
        <v>177.88627892063002</v>
      </c>
      <c r="D57" s="5">
        <f t="shared" si="10"/>
        <v>3997.3387680546011</v>
      </c>
      <c r="F57" s="5">
        <f t="shared" si="11"/>
        <v>93.960423846652034</v>
      </c>
      <c r="G57" s="5">
        <f t="shared" si="12"/>
        <v>158.67291181297577</v>
      </c>
      <c r="H57" s="5">
        <f t="shared" si="13"/>
        <v>3565.5891262592418</v>
      </c>
    </row>
    <row r="58" spans="1:28" x14ac:dyDescent="0.25">
      <c r="A58" s="6">
        <v>4</v>
      </c>
      <c r="B58" s="7">
        <f t="shared" si="14"/>
        <v>102.26979876805599</v>
      </c>
      <c r="C58" s="7">
        <f t="shared" si="9"/>
        <v>172.70512516566021</v>
      </c>
      <c r="D58" s="7">
        <f t="shared" si="10"/>
        <v>3880.9114252957293</v>
      </c>
      <c r="F58" s="7">
        <f t="shared" si="11"/>
        <v>87.813480230515935</v>
      </c>
      <c r="G58" s="7">
        <f t="shared" si="12"/>
        <v>148.29244094670634</v>
      </c>
      <c r="H58" s="7">
        <f t="shared" si="13"/>
        <v>3332.3262862235906</v>
      </c>
    </row>
    <row r="59" spans="1:28" x14ac:dyDescent="0.25">
      <c r="A59" s="4">
        <v>5</v>
      </c>
      <c r="B59" s="5">
        <f t="shared" si="14"/>
        <v>108.74735883796986</v>
      </c>
      <c r="C59" s="5">
        <f t="shared" si="9"/>
        <v>167.67487880161187</v>
      </c>
      <c r="D59" s="5">
        <f t="shared" si="10"/>
        <v>3767.8751701900287</v>
      </c>
      <c r="F59" s="5">
        <f t="shared" si="11"/>
        <v>89.884737218596641</v>
      </c>
      <c r="G59" s="5">
        <f t="shared" si="12"/>
        <v>138.59106630533302</v>
      </c>
      <c r="H59" s="5">
        <f t="shared" si="13"/>
        <v>3114.3236319846642</v>
      </c>
    </row>
    <row r="60" spans="1:28" x14ac:dyDescent="0.25">
      <c r="A60" s="6">
        <v>6</v>
      </c>
      <c r="B60" s="7">
        <f t="shared" si="14"/>
        <v>105.57996003686392</v>
      </c>
      <c r="C60" s="7">
        <f t="shared" si="9"/>
        <v>162.79114446758433</v>
      </c>
      <c r="D60" s="7">
        <f t="shared" si="10"/>
        <v>3658.1312331942027</v>
      </c>
      <c r="F60" s="7">
        <f t="shared" si="11"/>
        <v>84.004427307099661</v>
      </c>
      <c r="G60" s="7">
        <f t="shared" si="12"/>
        <v>129.52436103302151</v>
      </c>
      <c r="H60" s="7">
        <f t="shared" si="13"/>
        <v>2910.5828336305271</v>
      </c>
    </row>
    <row r="61" spans="1:28" x14ac:dyDescent="0.25">
      <c r="A61" s="4">
        <v>7</v>
      </c>
      <c r="B61" s="5">
        <f t="shared" si="14"/>
        <v>102.5048155697708</v>
      </c>
      <c r="C61" s="5">
        <f t="shared" si="9"/>
        <v>158.04965482289739</v>
      </c>
      <c r="D61" s="5">
        <f t="shared" si="10"/>
        <v>3551.5837215477691</v>
      </c>
      <c r="F61" s="5">
        <f t="shared" si="11"/>
        <v>78.508810567382852</v>
      </c>
      <c r="G61" s="5">
        <f t="shared" si="12"/>
        <v>121.05080470375842</v>
      </c>
      <c r="H61" s="5">
        <f t="shared" si="13"/>
        <v>2720.1708725518943</v>
      </c>
    </row>
    <row r="62" spans="1:28" x14ac:dyDescent="0.25">
      <c r="A62" s="6">
        <v>8</v>
      </c>
      <c r="B62" s="7">
        <f t="shared" si="14"/>
        <v>99.51923841725322</v>
      </c>
      <c r="C62" s="7">
        <f t="shared" si="9"/>
        <v>153.446266818347</v>
      </c>
      <c r="D62" s="7">
        <f t="shared" si="10"/>
        <v>3448.1395354832716</v>
      </c>
      <c r="F62" s="7">
        <f t="shared" si="11"/>
        <v>73.372720156432607</v>
      </c>
      <c r="G62" s="7">
        <f t="shared" si="12"/>
        <v>113.13159318108266</v>
      </c>
      <c r="H62" s="7">
        <f t="shared" si="13"/>
        <v>2542.2157687400891</v>
      </c>
    </row>
    <row r="63" spans="1:28" x14ac:dyDescent="0.25">
      <c r="A63" s="4">
        <v>9</v>
      </c>
      <c r="B63" s="5">
        <f t="shared" si="14"/>
        <v>96.620619822575932</v>
      </c>
      <c r="C63" s="5">
        <f t="shared" si="9"/>
        <v>148.97695807606505</v>
      </c>
      <c r="D63" s="5">
        <f t="shared" si="10"/>
        <v>3347.7082868769626</v>
      </c>
      <c r="F63" s="5">
        <f t="shared" si="11"/>
        <v>68.572635660217372</v>
      </c>
      <c r="G63" s="5">
        <f t="shared" si="12"/>
        <v>105.73046091689967</v>
      </c>
      <c r="H63" s="5">
        <f t="shared" si="13"/>
        <v>2375.9025876075598</v>
      </c>
    </row>
    <row r="64" spans="1:28" x14ac:dyDescent="0.25">
      <c r="A64" s="6">
        <v>10</v>
      </c>
      <c r="B64" s="7">
        <f t="shared" si="14"/>
        <v>101.963507621967</v>
      </c>
      <c r="C64" s="7">
        <f t="shared" si="9"/>
        <v>144.63782337482044</v>
      </c>
      <c r="D64" s="7">
        <f t="shared" si="10"/>
        <v>3250.2022202688954</v>
      </c>
      <c r="F64" s="7">
        <f t="shared" si="11"/>
        <v>69.659321068892098</v>
      </c>
      <c r="G64" s="7">
        <f t="shared" si="12"/>
        <v>98.813514875607197</v>
      </c>
      <c r="H64" s="7">
        <f t="shared" si="13"/>
        <v>2220.4697080444485</v>
      </c>
    </row>
    <row r="65" spans="1:8" x14ac:dyDescent="0.25">
      <c r="A65" s="4">
        <v>11</v>
      </c>
      <c r="B65" s="5">
        <f t="shared" si="14"/>
        <v>98.993696720356311</v>
      </c>
      <c r="C65" s="5">
        <f t="shared" si="9"/>
        <v>140.42507123768974</v>
      </c>
      <c r="D65" s="5">
        <f t="shared" si="10"/>
        <v>3155.5361361833939</v>
      </c>
      <c r="F65" s="5">
        <f t="shared" si="11"/>
        <v>65.102169223263644</v>
      </c>
      <c r="G65" s="5">
        <f t="shared" si="12"/>
        <v>92.349079322997369</v>
      </c>
      <c r="H65" s="5">
        <f t="shared" si="13"/>
        <v>2075.20533462098</v>
      </c>
    </row>
    <row r="66" spans="1:8" x14ac:dyDescent="0.25">
      <c r="A66" s="6">
        <v>12</v>
      </c>
      <c r="B66" s="7">
        <f t="shared" si="14"/>
        <v>96.11038516539449</v>
      </c>
      <c r="C66" s="7">
        <f t="shared" si="9"/>
        <v>136.33502061911628</v>
      </c>
      <c r="D66" s="7">
        <f t="shared" si="10"/>
        <v>3063.6273166829069</v>
      </c>
      <c r="F66" s="7">
        <f t="shared" si="11"/>
        <v>60.843148806788456</v>
      </c>
      <c r="G66" s="7">
        <f t="shared" si="12"/>
        <v>86.307550769156435</v>
      </c>
      <c r="H66" s="7">
        <f t="shared" si="13"/>
        <v>1939.4442379635325</v>
      </c>
    </row>
    <row r="67" spans="1:8" x14ac:dyDescent="0.25">
      <c r="A67" s="4">
        <v>13</v>
      </c>
      <c r="B67" s="5">
        <f t="shared" si="14"/>
        <v>93.311053558635436</v>
      </c>
      <c r="C67" s="5">
        <f t="shared" si="9"/>
        <v>132.36409768846241</v>
      </c>
      <c r="D67" s="5">
        <f t="shared" si="10"/>
        <v>2974.395453090201</v>
      </c>
      <c r="F67" s="5">
        <f t="shared" si="11"/>
        <v>56.862755894194827</v>
      </c>
      <c r="G67" s="5">
        <f t="shared" si="12"/>
        <v>80.661262401080776</v>
      </c>
      <c r="H67" s="5">
        <f t="shared" si="13"/>
        <v>1812.5647083771335</v>
      </c>
    </row>
    <row r="68" spans="1:8" x14ac:dyDescent="0.25">
      <c r="A68" s="6">
        <v>14</v>
      </c>
      <c r="B68" s="7">
        <f t="shared" si="14"/>
        <v>90.593255882170311</v>
      </c>
      <c r="C68" s="7">
        <f t="shared" si="9"/>
        <v>128.50883270724503</v>
      </c>
      <c r="D68" s="7">
        <f t="shared" si="10"/>
        <v>2887.7625758157287</v>
      </c>
      <c r="F68" s="7">
        <f t="shared" si="11"/>
        <v>53.142762517939076</v>
      </c>
      <c r="G68" s="7">
        <f t="shared" si="12"/>
        <v>75.384357384187624</v>
      </c>
      <c r="H68" s="7">
        <f t="shared" si="13"/>
        <v>1693.9857087636758</v>
      </c>
    </row>
    <row r="69" spans="1:8" x14ac:dyDescent="0.25">
      <c r="A69" s="4">
        <v>15</v>
      </c>
      <c r="B69" s="5">
        <f t="shared" si="14"/>
        <v>96.750079097463427</v>
      </c>
      <c r="C69" s="5">
        <f t="shared" si="9"/>
        <v>124.76585699732527</v>
      </c>
      <c r="D69" s="5">
        <f t="shared" si="10"/>
        <v>2803.652986228863</v>
      </c>
      <c r="F69" s="5">
        <f t="shared" si="11"/>
        <v>54.632746513769142</v>
      </c>
      <c r="G69" s="5">
        <f t="shared" si="12"/>
        <v>70.452670452511796</v>
      </c>
      <c r="H69" s="5">
        <f t="shared" si="13"/>
        <v>1583.1642137978279</v>
      </c>
    </row>
    <row r="70" spans="1:8" x14ac:dyDescent="0.25">
      <c r="A70" s="6">
        <v>16</v>
      </c>
      <c r="B70" s="7">
        <f t="shared" si="14"/>
        <v>93.932115628605274</v>
      </c>
      <c r="C70" s="7">
        <f t="shared" si="9"/>
        <v>121.13189999740321</v>
      </c>
      <c r="D70" s="7">
        <f t="shared" si="10"/>
        <v>2721.9931905134595</v>
      </c>
      <c r="F70" s="7">
        <f t="shared" si="11"/>
        <v>51.058641601653413</v>
      </c>
      <c r="G70" s="7">
        <f t="shared" si="12"/>
        <v>65.843617245338166</v>
      </c>
      <c r="H70" s="7">
        <f t="shared" si="13"/>
        <v>1479.5927231755404</v>
      </c>
    </row>
    <row r="71" spans="1:8" x14ac:dyDescent="0.25">
      <c r="A71" s="4">
        <v>17</v>
      </c>
      <c r="B71" s="5">
        <f t="shared" si="14"/>
        <v>91.196228765636192</v>
      </c>
      <c r="C71" s="5">
        <f t="shared" si="9"/>
        <v>117.60378640524583</v>
      </c>
      <c r="D71" s="5">
        <f t="shared" si="10"/>
        <v>2642.7118354499607</v>
      </c>
      <c r="F71" s="5">
        <f t="shared" si="11"/>
        <v>47.718356637059266</v>
      </c>
      <c r="G71" s="5">
        <f t="shared" si="12"/>
        <v>61.536090883493607</v>
      </c>
      <c r="H71" s="5">
        <f t="shared" si="13"/>
        <v>1382.7969375472342</v>
      </c>
    </row>
    <row r="72" spans="1:8" x14ac:dyDescent="0.25">
      <c r="A72" s="6">
        <v>18</v>
      </c>
      <c r="B72" s="7">
        <f t="shared" si="14"/>
        <v>88.540027927802129</v>
      </c>
      <c r="C72" s="7">
        <f t="shared" si="9"/>
        <v>114.17843340315129</v>
      </c>
      <c r="D72" s="7">
        <f t="shared" si="10"/>
        <v>2565.7396460679229</v>
      </c>
      <c r="F72" s="7">
        <f t="shared" si="11"/>
        <v>44.59659498790586</v>
      </c>
      <c r="G72" s="7">
        <f t="shared" si="12"/>
        <v>57.510365311676274</v>
      </c>
      <c r="H72" s="7">
        <f t="shared" si="13"/>
        <v>1292.3335864927421</v>
      </c>
    </row>
    <row r="73" spans="1:8" x14ac:dyDescent="0.25">
      <c r="A73" s="4">
        <v>19</v>
      </c>
      <c r="B73" s="5">
        <f t="shared" si="14"/>
        <v>85.961192162914699</v>
      </c>
      <c r="C73" s="5">
        <f t="shared" si="9"/>
        <v>110.85284796422455</v>
      </c>
      <c r="D73" s="5">
        <f t="shared" si="10"/>
        <v>2491.0093651144884</v>
      </c>
      <c r="F73" s="5">
        <f t="shared" si="11"/>
        <v>41.679060736360626</v>
      </c>
      <c r="G73" s="5">
        <f t="shared" si="12"/>
        <v>53.74800496418343</v>
      </c>
      <c r="H73" s="5">
        <f t="shared" si="13"/>
        <v>1207.7883985913479</v>
      </c>
    </row>
    <row r="74" spans="1:8" x14ac:dyDescent="0.25">
      <c r="A74" s="6">
        <v>20</v>
      </c>
      <c r="B74" s="7">
        <f t="shared" si="14"/>
        <v>91.04451067563781</v>
      </c>
      <c r="C74" s="7">
        <f t="shared" si="9"/>
        <v>107.62412423711122</v>
      </c>
      <c r="D74" s="7">
        <f t="shared" si="10"/>
        <v>2418.4556942859112</v>
      </c>
      <c r="F74" s="7">
        <f t="shared" si="11"/>
        <v>42.493519867147619</v>
      </c>
      <c r="G74" s="7">
        <f t="shared" si="12"/>
        <v>50.231780340358348</v>
      </c>
      <c r="H74" s="7">
        <f t="shared" si="13"/>
        <v>1128.7742042909795</v>
      </c>
    </row>
    <row r="75" spans="1:8" x14ac:dyDescent="0.25">
      <c r="A75" s="128"/>
      <c r="B75" s="129"/>
      <c r="C75" s="129"/>
      <c r="D75" s="129"/>
      <c r="F75" s="129"/>
      <c r="G75" s="129"/>
      <c r="H75" s="129"/>
    </row>
    <row r="76" spans="1:8" ht="15.75" thickBot="1" x14ac:dyDescent="0.3">
      <c r="A76" s="21"/>
      <c r="B76" s="125">
        <f>SUM(B55:B75)</f>
        <v>1969.2267373016225</v>
      </c>
      <c r="C76" s="125">
        <f>SUM(C55:C75)</f>
        <v>2891.9005222997362</v>
      </c>
      <c r="D76" s="125">
        <f>SUM(D55:D75)</f>
        <v>64984.81019046966</v>
      </c>
      <c r="F76" s="125">
        <f>SUM(F55:F75)</f>
        <v>1372.0192556198208</v>
      </c>
      <c r="G76" s="125">
        <f>SUM(G55:G75)</f>
        <v>2059.2765652249282</v>
      </c>
      <c r="H76" s="125">
        <f>SUM(H55:H75)</f>
        <v>46274.654224414611</v>
      </c>
    </row>
  </sheetData>
  <mergeCells count="2">
    <mergeCell ref="A53:D53"/>
    <mergeCell ref="F53:H53"/>
  </mergeCells>
  <pageMargins left="0.7" right="0.7" top="0.75" bottom="0.75" header="0.3" footer="0.3"/>
  <pageSetup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5"/>
  <sheetViews>
    <sheetView workbookViewId="0">
      <selection activeCell="H18" sqref="H18"/>
    </sheetView>
  </sheetViews>
  <sheetFormatPr defaultRowHeight="15" x14ac:dyDescent="0.25"/>
  <cols>
    <col min="2" max="2" width="12.85546875" customWidth="1"/>
    <col min="3" max="3" width="18.140625" customWidth="1"/>
    <col min="4" max="4" width="13.42578125" customWidth="1"/>
    <col min="5" max="5" width="15.5703125" customWidth="1"/>
    <col min="6" max="6" width="14.85546875" customWidth="1"/>
    <col min="8" max="8" width="12.7109375" bestFit="1" customWidth="1"/>
  </cols>
  <sheetData>
    <row r="1" spans="1:9" ht="15.75" x14ac:dyDescent="0.25">
      <c r="A1" s="105" t="s">
        <v>234</v>
      </c>
    </row>
    <row r="3" spans="1:9" x14ac:dyDescent="0.25">
      <c r="A3" s="134" t="s">
        <v>109</v>
      </c>
      <c r="B3" s="134"/>
      <c r="C3" s="134"/>
      <c r="D3" s="134"/>
      <c r="E3" s="134"/>
      <c r="F3" s="134"/>
    </row>
    <row r="4" spans="1:9" ht="27" customHeight="1" x14ac:dyDescent="0.25">
      <c r="A4" s="100" t="s">
        <v>0</v>
      </c>
      <c r="B4" s="100" t="s">
        <v>0</v>
      </c>
      <c r="C4" s="92" t="s">
        <v>83</v>
      </c>
      <c r="D4" s="103" t="s">
        <v>82</v>
      </c>
      <c r="E4" s="101" t="s">
        <v>17</v>
      </c>
      <c r="F4" s="101" t="s">
        <v>30</v>
      </c>
    </row>
    <row r="5" spans="1:9" x14ac:dyDescent="0.25">
      <c r="A5" s="88">
        <v>0</v>
      </c>
      <c r="B5" s="88">
        <v>2016</v>
      </c>
      <c r="C5" s="88">
        <v>140000</v>
      </c>
      <c r="D5" s="52">
        <v>45000</v>
      </c>
      <c r="E5" s="52">
        <f t="shared" ref="E5:E7" si="0">D5/1.03^(A5)</f>
        <v>45000</v>
      </c>
      <c r="F5" s="52">
        <f>D5/1.07^(A5)</f>
        <v>45000</v>
      </c>
    </row>
    <row r="6" spans="1:9" x14ac:dyDescent="0.25">
      <c r="A6" s="53">
        <v>0</v>
      </c>
      <c r="B6" s="53">
        <v>2017</v>
      </c>
      <c r="C6" s="53">
        <v>140000</v>
      </c>
      <c r="D6" s="51">
        <v>45000</v>
      </c>
      <c r="E6" s="51">
        <f t="shared" si="0"/>
        <v>45000</v>
      </c>
      <c r="F6" s="51">
        <f t="shared" ref="F6:F29" si="1">D6/1.07^(A6)</f>
        <v>45000</v>
      </c>
    </row>
    <row r="7" spans="1:9" x14ac:dyDescent="0.25">
      <c r="A7" s="88">
        <v>0</v>
      </c>
      <c r="B7" s="88">
        <v>2018</v>
      </c>
      <c r="C7" s="88">
        <v>140000</v>
      </c>
      <c r="D7" s="52">
        <v>45000</v>
      </c>
      <c r="E7" s="52">
        <f t="shared" si="0"/>
        <v>45000</v>
      </c>
      <c r="F7" s="52">
        <f t="shared" si="1"/>
        <v>45000</v>
      </c>
    </row>
    <row r="8" spans="1:9" x14ac:dyDescent="0.25">
      <c r="A8" s="53">
        <v>0</v>
      </c>
      <c r="B8" s="53">
        <v>2019</v>
      </c>
      <c r="C8" s="53">
        <v>140000</v>
      </c>
      <c r="D8" s="51">
        <v>45000</v>
      </c>
      <c r="E8" s="51">
        <f>D8/1.03^(A8)</f>
        <v>45000</v>
      </c>
      <c r="F8" s="51">
        <f t="shared" si="1"/>
        <v>45000</v>
      </c>
      <c r="I8" s="30"/>
    </row>
    <row r="9" spans="1:9" x14ac:dyDescent="0.25">
      <c r="A9" s="88">
        <v>0</v>
      </c>
      <c r="B9" s="88">
        <v>2020</v>
      </c>
      <c r="C9" s="88">
        <v>140000</v>
      </c>
      <c r="D9" s="52">
        <v>45000</v>
      </c>
      <c r="E9" s="52">
        <f t="shared" ref="E9:E29" si="2">D9/1.03^(A9)</f>
        <v>45000</v>
      </c>
      <c r="F9" s="52">
        <f t="shared" si="1"/>
        <v>45000</v>
      </c>
    </row>
    <row r="10" spans="1:9" x14ac:dyDescent="0.25">
      <c r="A10" s="53">
        <v>1</v>
      </c>
      <c r="B10" s="53">
        <v>2021</v>
      </c>
      <c r="C10" s="53">
        <v>140000</v>
      </c>
      <c r="D10" s="51">
        <v>45000</v>
      </c>
      <c r="E10" s="51">
        <f t="shared" si="2"/>
        <v>43689.320388349515</v>
      </c>
      <c r="F10" s="51">
        <f t="shared" si="1"/>
        <v>42056.074766355137</v>
      </c>
    </row>
    <row r="11" spans="1:9" x14ac:dyDescent="0.25">
      <c r="A11" s="66">
        <v>2</v>
      </c>
      <c r="B11" s="66">
        <v>2022</v>
      </c>
      <c r="C11" s="66">
        <v>140000</v>
      </c>
      <c r="D11" s="52">
        <v>45000</v>
      </c>
      <c r="E11" s="52">
        <f t="shared" si="2"/>
        <v>42416.815911018944</v>
      </c>
      <c r="F11" s="52">
        <f t="shared" si="1"/>
        <v>39304.742772294521</v>
      </c>
    </row>
    <row r="12" spans="1:9" x14ac:dyDescent="0.25">
      <c r="A12" s="53">
        <v>3</v>
      </c>
      <c r="B12" s="53">
        <v>2023</v>
      </c>
      <c r="C12" s="53">
        <v>140000</v>
      </c>
      <c r="D12" s="51">
        <v>45000</v>
      </c>
      <c r="E12" s="51">
        <f t="shared" si="2"/>
        <v>41181.374670892183</v>
      </c>
      <c r="F12" s="51">
        <f t="shared" si="1"/>
        <v>36733.404460088335</v>
      </c>
    </row>
    <row r="13" spans="1:9" x14ac:dyDescent="0.25">
      <c r="A13" s="88">
        <v>4</v>
      </c>
      <c r="B13" s="88">
        <v>2024</v>
      </c>
      <c r="C13" s="88">
        <v>140000</v>
      </c>
      <c r="D13" s="52">
        <v>45000</v>
      </c>
      <c r="E13" s="52">
        <f t="shared" si="2"/>
        <v>39981.917156206007</v>
      </c>
      <c r="F13" s="52">
        <f t="shared" si="1"/>
        <v>34330.284542138637</v>
      </c>
    </row>
    <row r="14" spans="1:9" x14ac:dyDescent="0.25">
      <c r="A14" s="53">
        <v>5</v>
      </c>
      <c r="B14" s="53">
        <v>2025</v>
      </c>
      <c r="C14" s="53">
        <v>140000</v>
      </c>
      <c r="D14" s="51">
        <v>45000</v>
      </c>
      <c r="E14" s="51">
        <f t="shared" si="2"/>
        <v>38817.395297287381</v>
      </c>
      <c r="F14" s="51">
        <f t="shared" si="1"/>
        <v>32084.378076765075</v>
      </c>
    </row>
    <row r="15" spans="1:9" x14ac:dyDescent="0.25">
      <c r="A15" s="66">
        <v>6</v>
      </c>
      <c r="B15" s="66">
        <v>2026</v>
      </c>
      <c r="C15" s="66">
        <v>140000</v>
      </c>
      <c r="D15" s="52">
        <v>45000</v>
      </c>
      <c r="E15" s="52">
        <f t="shared" si="2"/>
        <v>37686.79155076445</v>
      </c>
      <c r="F15" s="52">
        <f t="shared" si="1"/>
        <v>29985.400071743064</v>
      </c>
    </row>
    <row r="16" spans="1:9" x14ac:dyDescent="0.25">
      <c r="A16" s="53">
        <v>7</v>
      </c>
      <c r="B16" s="53">
        <v>2027</v>
      </c>
      <c r="C16" s="53">
        <v>140000</v>
      </c>
      <c r="D16" s="51">
        <v>45000</v>
      </c>
      <c r="E16" s="51">
        <f t="shared" si="2"/>
        <v>36589.118010450919</v>
      </c>
      <c r="F16" s="51">
        <f t="shared" si="1"/>
        <v>28023.738384806598</v>
      </c>
    </row>
    <row r="17" spans="1:6" x14ac:dyDescent="0.25">
      <c r="A17" s="88">
        <v>8</v>
      </c>
      <c r="B17" s="88">
        <v>2028</v>
      </c>
      <c r="C17" s="88">
        <v>140000</v>
      </c>
      <c r="D17" s="52">
        <v>45000</v>
      </c>
      <c r="E17" s="52">
        <f t="shared" si="2"/>
        <v>35523.415544127107</v>
      </c>
      <c r="F17" s="52">
        <f t="shared" si="1"/>
        <v>26190.409705426729</v>
      </c>
    </row>
    <row r="18" spans="1:6" x14ac:dyDescent="0.25">
      <c r="A18" s="53">
        <v>9</v>
      </c>
      <c r="B18" s="53">
        <v>2029</v>
      </c>
      <c r="C18" s="53">
        <v>140000</v>
      </c>
      <c r="D18" s="51">
        <v>45000</v>
      </c>
      <c r="E18" s="51">
        <f t="shared" si="2"/>
        <v>34488.752955463213</v>
      </c>
      <c r="F18" s="51">
        <f t="shared" si="1"/>
        <v>24477.018416286661</v>
      </c>
    </row>
    <row r="19" spans="1:6" x14ac:dyDescent="0.25">
      <c r="A19" s="66">
        <v>10</v>
      </c>
      <c r="B19" s="66">
        <v>2030</v>
      </c>
      <c r="C19" s="66">
        <v>140000</v>
      </c>
      <c r="D19" s="52">
        <v>45000</v>
      </c>
      <c r="E19" s="52">
        <f t="shared" si="2"/>
        <v>33484.226170352631</v>
      </c>
      <c r="F19" s="52">
        <f t="shared" si="1"/>
        <v>22875.7181460623</v>
      </c>
    </row>
    <row r="20" spans="1:6" x14ac:dyDescent="0.25">
      <c r="A20" s="53">
        <v>11</v>
      </c>
      <c r="B20" s="53">
        <v>2031</v>
      </c>
      <c r="C20" s="53">
        <v>140000</v>
      </c>
      <c r="D20" s="51">
        <v>45000</v>
      </c>
      <c r="E20" s="51">
        <f t="shared" si="2"/>
        <v>32508.957446944303</v>
      </c>
      <c r="F20" s="51">
        <f t="shared" si="1"/>
        <v>21379.175837441398</v>
      </c>
    </row>
    <row r="21" spans="1:6" x14ac:dyDescent="0.25">
      <c r="A21" s="88">
        <v>12</v>
      </c>
      <c r="B21" s="88">
        <v>2032</v>
      </c>
      <c r="C21" s="88">
        <v>140000</v>
      </c>
      <c r="D21" s="52">
        <v>45000</v>
      </c>
      <c r="E21" s="52">
        <f t="shared" si="2"/>
        <v>31562.094608683794</v>
      </c>
      <c r="F21" s="52">
        <f t="shared" si="1"/>
        <v>19980.538165833088</v>
      </c>
    </row>
    <row r="22" spans="1:6" x14ac:dyDescent="0.25">
      <c r="A22" s="53">
        <v>13</v>
      </c>
      <c r="B22" s="53">
        <v>2033</v>
      </c>
      <c r="C22" s="53">
        <v>140000</v>
      </c>
      <c r="D22" s="51">
        <v>45000</v>
      </c>
      <c r="E22" s="51">
        <f t="shared" si="2"/>
        <v>30642.810299693007</v>
      </c>
      <c r="F22" s="51">
        <f t="shared" si="1"/>
        <v>18673.400154984192</v>
      </c>
    </row>
    <row r="23" spans="1:6" x14ac:dyDescent="0.25">
      <c r="A23" s="66">
        <v>14</v>
      </c>
      <c r="B23" s="66">
        <v>2034</v>
      </c>
      <c r="C23" s="66">
        <v>140000</v>
      </c>
      <c r="D23" s="52">
        <v>45000</v>
      </c>
      <c r="E23" s="52">
        <f t="shared" si="2"/>
        <v>29750.301261837867</v>
      </c>
      <c r="F23" s="52">
        <f t="shared" si="1"/>
        <v>17451.775845779619</v>
      </c>
    </row>
    <row r="24" spans="1:6" x14ac:dyDescent="0.25">
      <c r="A24" s="53">
        <v>15</v>
      </c>
      <c r="B24" s="53">
        <v>2035</v>
      </c>
      <c r="C24" s="53">
        <v>140000</v>
      </c>
      <c r="D24" s="51">
        <v>45000</v>
      </c>
      <c r="E24" s="51">
        <f t="shared" si="2"/>
        <v>28883.787632852294</v>
      </c>
      <c r="F24" s="51">
        <f t="shared" si="1"/>
        <v>16310.070883906184</v>
      </c>
    </row>
    <row r="25" spans="1:6" x14ac:dyDescent="0.25">
      <c r="A25" s="88">
        <v>16</v>
      </c>
      <c r="B25" s="88">
        <v>2036</v>
      </c>
      <c r="C25" s="88">
        <v>140000</v>
      </c>
      <c r="D25" s="52">
        <v>45000</v>
      </c>
      <c r="E25" s="52">
        <f t="shared" si="2"/>
        <v>28042.512264905148</v>
      </c>
      <c r="F25" s="52">
        <f t="shared" si="1"/>
        <v>15243.056900846905</v>
      </c>
    </row>
    <row r="26" spans="1:6" x14ac:dyDescent="0.25">
      <c r="A26" s="53">
        <v>17</v>
      </c>
      <c r="B26" s="53">
        <v>2037</v>
      </c>
      <c r="C26" s="53">
        <v>140000</v>
      </c>
      <c r="D26" s="51">
        <v>45000</v>
      </c>
      <c r="E26" s="51">
        <f t="shared" si="2"/>
        <v>27225.740063014706</v>
      </c>
      <c r="F26" s="51">
        <f t="shared" si="1"/>
        <v>14245.847570884956</v>
      </c>
    </row>
    <row r="27" spans="1:6" x14ac:dyDescent="0.25">
      <c r="A27" s="66">
        <v>18</v>
      </c>
      <c r="B27" s="66">
        <v>2038</v>
      </c>
      <c r="C27" s="66">
        <v>140000</v>
      </c>
      <c r="D27" s="52">
        <v>45000</v>
      </c>
      <c r="E27" s="52">
        <f t="shared" si="2"/>
        <v>26432.757342732722</v>
      </c>
      <c r="F27" s="52">
        <f t="shared" si="1"/>
        <v>13313.876234471922</v>
      </c>
    </row>
    <row r="28" spans="1:6" x14ac:dyDescent="0.25">
      <c r="A28" s="53">
        <v>19</v>
      </c>
      <c r="B28" s="53">
        <v>2039</v>
      </c>
      <c r="C28" s="53">
        <v>140000</v>
      </c>
      <c r="D28" s="51">
        <v>45000</v>
      </c>
      <c r="E28" s="51">
        <f t="shared" si="2"/>
        <v>25662.871206536624</v>
      </c>
      <c r="F28" s="51">
        <f t="shared" si="1"/>
        <v>12442.874985487777</v>
      </c>
    </row>
    <row r="29" spans="1:6" x14ac:dyDescent="0.25">
      <c r="A29" s="130">
        <v>20</v>
      </c>
      <c r="B29" s="130">
        <v>2040</v>
      </c>
      <c r="C29" s="130">
        <v>140000</v>
      </c>
      <c r="D29" s="122">
        <v>45000</v>
      </c>
      <c r="E29" s="122">
        <f t="shared" si="2"/>
        <v>24915.408938385073</v>
      </c>
      <c r="F29" s="122">
        <f t="shared" si="1"/>
        <v>11628.855126624092</v>
      </c>
    </row>
    <row r="30" spans="1:6" ht="15.75" thickBot="1" x14ac:dyDescent="0.3">
      <c r="A30" s="111"/>
      <c r="B30" s="111"/>
      <c r="C30" s="111"/>
      <c r="D30" s="131">
        <f>SUM(D8:D29)</f>
        <v>990000</v>
      </c>
      <c r="E30" s="120">
        <f>SUM(E8:E29)</f>
        <v>759486.36872049805</v>
      </c>
      <c r="F30" s="120">
        <f>SUM(F8:F29)</f>
        <v>566730.6410482272</v>
      </c>
    </row>
    <row r="33" spans="1:5" x14ac:dyDescent="0.25">
      <c r="A33" t="s">
        <v>227</v>
      </c>
    </row>
    <row r="34" spans="1:5" x14ac:dyDescent="0.25">
      <c r="A34" s="28"/>
      <c r="B34" s="28"/>
      <c r="E34" s="15"/>
    </row>
    <row r="35" spans="1:5" x14ac:dyDescent="0.25">
      <c r="C35" s="34"/>
    </row>
  </sheetData>
  <mergeCells count="1"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Travel</vt:lpstr>
      <vt:lpstr>Travel-Safety</vt:lpstr>
      <vt:lpstr>Travel-WalkingBiking</vt:lpstr>
      <vt:lpstr>Res. Property Value</vt:lpstr>
      <vt:lpstr>New Development</vt:lpstr>
      <vt:lpstr>Lifetime Maint. Costs-Trails</vt:lpstr>
      <vt:lpstr>Solar Lighting</vt:lpstr>
      <vt:lpstr>Transit Bus System</vt:lpstr>
      <vt:lpstr>Transit Bus Maint.</vt:lpstr>
      <vt:lpstr>Storm Drains</vt:lpstr>
    </vt:vector>
  </TitlesOfParts>
  <Company>J-U-B Engineers,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Staats</dc:creator>
  <cp:lastModifiedBy>Brooks Davis</cp:lastModifiedBy>
  <cp:lastPrinted>2018-07-11T19:47:05Z</cp:lastPrinted>
  <dcterms:created xsi:type="dcterms:W3CDTF">2011-10-13T16:17:41Z</dcterms:created>
  <dcterms:modified xsi:type="dcterms:W3CDTF">2018-07-17T22:01:23Z</dcterms:modified>
</cp:coreProperties>
</file>